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4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'กระแสเงินสด'!$A$1:$M$76</definedName>
    <definedName name="_xlnm.Print_Area" localSheetId="2">'งบทดลอง'!$A$1:$K$82</definedName>
    <definedName name="_xlnm.Print_Area" localSheetId="5">'รับจ่ายใหม่'!$A$1:$S$98</definedName>
    <definedName name="_xlnm.Print_Area" localSheetId="3">'หมายเหตุ'!$A$1:$R$47</definedName>
    <definedName name="_xlnm.Print_Area" localSheetId="4">'หมายเหตุยกมา'!$A$1:$I$43</definedName>
  </definedNames>
  <calcPr fullCalcOnLoad="1"/>
</workbook>
</file>

<file path=xl/sharedStrings.xml><?xml version="1.0" encoding="utf-8"?>
<sst xmlns="http://schemas.openxmlformats.org/spreadsheetml/2006/main" count="602" uniqueCount="315">
  <si>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</si>
  <si>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</si>
  <si>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</si>
  <si>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</si>
  <si>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</si>
  <si>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</si>
  <si>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</si>
  <si>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</si>
  <si>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</si>
  <si>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</si>
  <si>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</si>
  <si>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</si>
  <si>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</si>
  <si>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</si>
  <si>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</si>
  <si>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</si>
  <si>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</si>
  <si>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</si>
  <si>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</si>
  <si>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</si>
  <si>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</si>
  <si>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</si>
  <si>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</si>
  <si>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</si>
  <si>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</si>
  <si>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</si>
  <si>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</si>
  <si>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</si>
  <si>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</si>
  <si>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</si>
  <si>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</si>
  <si>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</si>
  <si>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</si>
  <si>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</si>
  <si>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</si>
  <si>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</si>
  <si>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</si>
  <si>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</si>
  <si>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</si>
  <si>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</si>
  <si>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</si>
  <si>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</si>
  <si>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</si>
  <si>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</si>
  <si>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</si>
  <si>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</si>
  <si>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</si>
  <si>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</si>
  <si>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</si>
  <si>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</si>
  <si>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</si>
  <si>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</si>
  <si>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</si>
  <si>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</si>
  <si>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</si>
  <si>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</si>
  <si>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</si>
  <si>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</si>
  <si>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</si>
  <si>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</si>
  <si>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</si>
  <si>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</si>
  <si>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</si>
  <si>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</si>
  <si>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</si>
  <si>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</si>
  <si>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</si>
  <si>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</si>
  <si>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</si>
  <si>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</si>
  <si>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</si>
  <si>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</si>
  <si>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</si>
  <si>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</si>
  <si>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</si>
  <si>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</si>
  <si>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</si>
  <si>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</si>
  <si>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</si>
  <si>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</si>
  <si>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</si>
  <si>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</si>
  <si>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</si>
  <si>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</si>
  <si>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</si>
  <si>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</si>
  <si>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</si>
  <si>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</si>
  <si>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</si>
  <si>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</si>
  <si>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</si>
  <si>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</si>
  <si>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</si>
  <si>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</si>
  <si>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</si>
  <si>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</si>
  <si>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</si>
  <si>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</si>
  <si>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</si>
  <si>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</si>
  <si>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</si>
  <si>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</si>
  <si>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</si>
  <si>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</si>
  <si>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</si>
  <si>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</si>
  <si>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</si>
  <si>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</si>
  <si>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</si>
  <si>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</si>
  <si>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</si>
  <si>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</si>
  <si>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</si>
  <si>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</si>
  <si>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</si>
  <si>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</si>
  <si>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</si>
  <si>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</si>
  <si>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</si>
  <si>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</si>
  <si>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</si>
  <si>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</si>
  <si>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</si>
  <si>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</si>
  <si>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</si>
  <si>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</si>
  <si>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</si>
  <si>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</si>
  <si>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</si>
  <si>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</si>
  <si>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</si>
  <si>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</si>
  <si>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</si>
  <si>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</si>
  <si>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</si>
  <si>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</si>
  <si>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</si>
  <si>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</si>
  <si>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</si>
  <si>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</si>
  <si>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</si>
  <si>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</si>
  <si>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</si>
  <si>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</si>
  <si>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</si>
  <si>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</si>
  <si>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</si>
  <si>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</si>
  <si>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</si>
  <si>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</si>
  <si>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</si>
  <si>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</si>
  <si>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</si>
  <si>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</si>
  <si>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</si>
  <si>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</si>
  <si>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</si>
  <si>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</si>
  <si>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</si>
  <si>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</si>
  <si>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</si>
  <si>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</si>
  <si>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</si>
  <si>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</si>
  <si>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</si>
  <si>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</si>
  <si>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</si>
  <si>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</si>
  <si>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</si>
  <si>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</si>
  <si>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</si>
  <si>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</si>
  <si>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</si>
  <si>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</si>
  <si>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</si>
  <si>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</si>
  <si>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</si>
  <si>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</si>
  <si>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</si>
  <si>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</si>
  <si>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</si>
  <si>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</si>
  <si>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</si>
  <si>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</si>
  <si>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</si>
  <si>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</si>
  <si>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</si>
  <si>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</si>
  <si>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</si>
  <si>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</si>
  <si>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</si>
  <si>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</si>
  <si>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</si>
  <si>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</si>
  <si>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</si>
  <si>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</si>
  <si>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</si>
  <si>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</si>
  <si>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</si>
  <si>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</si>
  <si>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</si>
  <si>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</si>
  <si>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</si>
  <si>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</si>
  <si>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</si>
  <si>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</si>
  <si>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</si>
  <si>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</si>
  <si>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</si>
  <si>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</si>
  <si>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</si>
  <si>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</si>
  <si>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</si>
  <si>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</si>
  <si>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</si>
  <si>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</si>
  <si>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</si>
  <si>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</si>
  <si>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</si>
  <si>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</si>
  <si>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</si>
  <si>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</si>
  <si>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</si>
  <si>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</si>
  <si>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111201</t>
  </si>
  <si>
    <t>111202</t>
  </si>
  <si>
    <t>111203</t>
  </si>
  <si>
    <t>190001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</si>
  <si>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</si>
  <si>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</si>
  <si>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</si>
  <si>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</si>
  <si>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</si>
  <si>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</si>
  <si>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</si>
  <si>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</si>
  <si>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</si>
  <si>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</si>
  <si>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</si>
  <si>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</si>
  <si>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</si>
  <si>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</si>
  <si>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</si>
  <si>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</si>
  <si>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</si>
  <si>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</si>
  <si>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</si>
  <si>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</si>
  <si>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</si>
  <si>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</si>
  <si>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</si>
  <si>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</si>
  <si>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</si>
  <si>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</si>
  <si>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</si>
  <si>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</si>
  <si>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</si>
  <si>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</si>
  <si>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</si>
  <si>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</si>
  <si>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</si>
  <si>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</si>
  <si>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</si>
  <si>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</si>
  <si>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</si>
  <si>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</si>
  <si>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</si>
  <si>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</si>
  <si>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</si>
  <si>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</si>
  <si>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</si>
  <si>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</si>
  <si>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</si>
  <si>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</si>
  <si>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</si>
  <si>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</si>
  <si>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</si>
  <si>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</si>
  <si>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</si>
  <si>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</si>
  <si>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</si>
  <si>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</si>
  <si>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</si>
  <si>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</si>
  <si>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</si>
  <si>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</si>
  <si>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</si>
  <si>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</si>
  <si>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</si>
  <si>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</si>
  <si>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</si>
  <si>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</si>
  <si>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</si>
  <si>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</si>
  <si>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</si>
  <si>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รับคืน-เงินอุดหนุนกำหนดวัตถุประสงค์เบี้ยคนพิการ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</si>
  <si>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</si>
  <si>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</si>
  <si>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</si>
  <si>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</si>
  <si>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</si>
  <si>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</si>
  <si>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</si>
  <si>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</si>
  <si>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</si>
  <si>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t>เพียงวันที่   30  พฤศจิกายน  2559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</si>
  <si>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</si>
  <si>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ปีงบประมาณ   2560     ประจำเดือน  พฤศจิกายน  2559</t>
  </si>
  <si>
    <t xml:space="preserve">ณ   วันที่  30  พฤศจิกายน   พ.ศ. 2559 </t>
  </si>
  <si>
    <t>1 พฤศจิกายน  2559  - 30  พฤศจิกายน   2559</t>
  </si>
  <si>
    <t>1  ตุลาคม  2559 -  30  พฤศจิกายน    2559</t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</si>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</sst>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0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43" fontId="5" fillId="0" borderId="23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49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5" xfId="38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3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0" fontId="5" fillId="0" borderId="39" xfId="0" applyFont="1" applyBorder="1" applyAlignment="1">
      <alignment horizontal="centerContinuous" vertical="top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98" fontId="5" fillId="0" borderId="43" xfId="0" applyNumberFormat="1" applyFont="1" applyFill="1" applyBorder="1" applyAlignment="1">
      <alignment horizontal="center"/>
    </xf>
    <xf numFmtId="43" fontId="4" fillId="0" borderId="11" xfId="38" applyFont="1" applyBorder="1" applyAlignment="1">
      <alignment vertical="center"/>
    </xf>
    <xf numFmtId="43" fontId="7" fillId="0" borderId="30" xfId="38" applyFont="1" applyBorder="1" applyAlignment="1">
      <alignment/>
    </xf>
    <xf numFmtId="43" fontId="7" fillId="0" borderId="25" xfId="0" applyNumberFormat="1" applyFont="1" applyBorder="1" applyAlignment="1">
      <alignment/>
    </xf>
    <xf numFmtId="43" fontId="7" fillId="0" borderId="31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44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0" xfId="0" applyFont="1" applyBorder="1" applyAlignment="1">
      <alignment/>
    </xf>
    <xf numFmtId="43" fontId="7" fillId="0" borderId="32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45" xfId="0" applyFont="1" applyFill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46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43" fontId="7" fillId="0" borderId="48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9" xfId="0" applyNumberFormat="1" applyFont="1" applyBorder="1" applyAlignment="1">
      <alignment/>
    </xf>
    <xf numFmtId="43" fontId="5" fillId="0" borderId="39" xfId="0" applyNumberFormat="1" applyFont="1" applyBorder="1" applyAlignment="1">
      <alignment horizontal="centerContinuous" vertical="top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4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43" fontId="4" fillId="0" borderId="49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8" xfId="38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81</xdr:row>
      <xdr:rowOff>9525</xdr:rowOff>
    </xdr:from>
    <xdr:to>
      <xdr:col>6</xdr:col>
      <xdr:colOff>57150</xdr:colOff>
      <xdr:row>82</xdr:row>
      <xdr:rowOff>19050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162800" y="19716750"/>
          <a:ext cx="47625" cy="257175"/>
        </a:xfrm>
        <a:prstGeom prst="leftBrace">
          <a:avLst>
            <a:gd name="adj" fmla="val -4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923925</xdr:colOff>
      <xdr:row>81</xdr:row>
      <xdr:rowOff>9525</xdr:rowOff>
    </xdr:from>
    <xdr:to>
      <xdr:col>6</xdr:col>
      <xdr:colOff>971550</xdr:colOff>
      <xdr:row>82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8077200" y="19716750"/>
          <a:ext cx="47625" cy="2476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1">
          <cell r="E11">
            <v>360000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112" zoomScaleSheetLayoutView="112" zoomScalePageLayoutView="0" workbookViewId="0" topLeftCell="A38">
      <selection activeCell="B28" sqref="B28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5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70" t="s">
        <v>208</v>
      </c>
      <c r="C1" s="170"/>
      <c r="D1" s="170"/>
      <c r="E1" s="170"/>
    </row>
    <row r="2" spans="2:5" ht="22.5" customHeight="1">
      <c r="B2" s="170" t="s">
        <v>44</v>
      </c>
      <c r="C2" s="170"/>
      <c r="D2" s="170"/>
      <c r="E2" s="170"/>
    </row>
    <row r="3" spans="2:5" ht="22.5" customHeight="1">
      <c r="B3" s="170" t="s">
        <v>305</v>
      </c>
      <c r="C3" s="170"/>
      <c r="D3" s="170"/>
      <c r="E3" s="170"/>
    </row>
    <row r="4" spans="1:5" ht="22.5" customHeight="1">
      <c r="A4" s="25" t="s">
        <v>45</v>
      </c>
      <c r="C4" s="26" t="s">
        <v>7</v>
      </c>
      <c r="E4" s="26" t="s">
        <v>46</v>
      </c>
    </row>
    <row r="5" spans="2:7" ht="22.5" customHeight="1">
      <c r="B5" s="21" t="s">
        <v>47</v>
      </c>
      <c r="C5" s="27">
        <v>10874366.55</v>
      </c>
      <c r="E5" s="27">
        <f>35828321.46+10874366.55</f>
        <v>46702688.010000005</v>
      </c>
      <c r="G5" s="27" t="s">
        <v>246</v>
      </c>
    </row>
    <row r="6" spans="2:9" ht="22.5" customHeight="1">
      <c r="B6" s="21" t="s">
        <v>48</v>
      </c>
      <c r="C6" s="27">
        <f>+หมายเหตุ!C31</f>
        <v>3796941.53</v>
      </c>
      <c r="E6" s="27">
        <f>940485.79+3796141.53</f>
        <v>4736627.32</v>
      </c>
      <c r="G6" s="67" t="s">
        <v>247</v>
      </c>
      <c r="I6" s="67" t="s">
        <v>236</v>
      </c>
    </row>
    <row r="7" spans="2:7" ht="22.5" customHeight="1">
      <c r="B7" s="21" t="s">
        <v>108</v>
      </c>
      <c r="C7" s="27">
        <v>1678594</v>
      </c>
      <c r="E7" s="27">
        <f>95600+1678594</f>
        <v>1774194</v>
      </c>
      <c r="G7" s="27" t="s">
        <v>252</v>
      </c>
    </row>
    <row r="8" spans="2:9" ht="22.5" customHeight="1">
      <c r="B8" s="21" t="s">
        <v>109</v>
      </c>
      <c r="C8" s="27">
        <v>0</v>
      </c>
      <c r="E8" s="27">
        <f aca="true" t="shared" si="0" ref="E8:E17">+C8</f>
        <v>0</v>
      </c>
      <c r="G8" s="27" t="s">
        <v>252</v>
      </c>
      <c r="I8" s="27">
        <v>0</v>
      </c>
    </row>
    <row r="9" spans="2:5" ht="22.5" customHeight="1">
      <c r="B9" s="21" t="s">
        <v>311</v>
      </c>
      <c r="C9" s="27">
        <v>32700</v>
      </c>
      <c r="E9" s="27">
        <f>+C9</f>
        <v>32700</v>
      </c>
    </row>
    <row r="10" spans="2:5" ht="22.5" customHeight="1">
      <c r="B10" s="21" t="s">
        <v>160</v>
      </c>
      <c r="C10" s="27">
        <v>0</v>
      </c>
      <c r="E10" s="27">
        <f t="shared" si="0"/>
        <v>0</v>
      </c>
    </row>
    <row r="11" spans="2:9" ht="22.5" customHeight="1">
      <c r="B11" s="21" t="s">
        <v>84</v>
      </c>
      <c r="C11" s="27">
        <v>0</v>
      </c>
      <c r="E11" s="27">
        <f t="shared" si="0"/>
        <v>0</v>
      </c>
      <c r="I11" s="27" t="s">
        <v>236</v>
      </c>
    </row>
    <row r="12" spans="2:5" ht="22.5" customHeight="1">
      <c r="B12" s="21" t="s">
        <v>131</v>
      </c>
      <c r="C12" s="27">
        <v>0</v>
      </c>
      <c r="E12" s="27">
        <f t="shared" si="0"/>
        <v>0</v>
      </c>
    </row>
    <row r="13" spans="2:5" ht="22.5" customHeight="1">
      <c r="B13" s="21" t="s">
        <v>258</v>
      </c>
      <c r="C13" s="27">
        <v>0</v>
      </c>
      <c r="E13" s="27">
        <f t="shared" si="0"/>
        <v>0</v>
      </c>
    </row>
    <row r="14" spans="2:7" ht="22.5" customHeight="1">
      <c r="B14" s="21" t="s">
        <v>209</v>
      </c>
      <c r="C14" s="27">
        <v>0</v>
      </c>
      <c r="E14" s="27">
        <f t="shared" si="0"/>
        <v>0</v>
      </c>
      <c r="G14" s="27" t="s">
        <v>265</v>
      </c>
    </row>
    <row r="15" spans="2:7" ht="22.5" customHeight="1">
      <c r="B15" s="21" t="s">
        <v>210</v>
      </c>
      <c r="C15" s="27">
        <v>0</v>
      </c>
      <c r="E15" s="27">
        <v>800</v>
      </c>
      <c r="G15" s="27">
        <v>51200</v>
      </c>
    </row>
    <row r="16" spans="2:5" ht="19.5" customHeight="1" hidden="1">
      <c r="B16" s="32" t="s">
        <v>221</v>
      </c>
      <c r="C16" s="27"/>
      <c r="E16" s="27">
        <f t="shared" si="0"/>
        <v>0</v>
      </c>
    </row>
    <row r="17" spans="2:5" ht="22.5" customHeight="1" hidden="1">
      <c r="B17" s="21" t="s">
        <v>132</v>
      </c>
      <c r="C17" s="27"/>
      <c r="E17" s="27">
        <f t="shared" si="0"/>
        <v>0</v>
      </c>
    </row>
    <row r="18" spans="2:5" ht="22.5" customHeight="1">
      <c r="B18" s="21" t="s">
        <v>75</v>
      </c>
      <c r="C18" s="27">
        <v>0</v>
      </c>
      <c r="E18" s="27">
        <v>68202.38</v>
      </c>
    </row>
    <row r="19" spans="2:5" ht="22.5" customHeight="1" hidden="1">
      <c r="B19" s="21" t="s">
        <v>139</v>
      </c>
      <c r="C19" s="27"/>
      <c r="E19" s="27"/>
    </row>
    <row r="20" spans="2:5" ht="22.5" customHeight="1" hidden="1">
      <c r="B20" s="21" t="s">
        <v>91</v>
      </c>
      <c r="C20" s="27"/>
      <c r="E20" s="27"/>
    </row>
    <row r="21" spans="2:5" ht="22.5" customHeight="1" hidden="1">
      <c r="B21" s="21" t="s">
        <v>21</v>
      </c>
      <c r="C21" s="27"/>
      <c r="E21" s="27"/>
    </row>
    <row r="22" spans="2:5" ht="22.5" customHeight="1" hidden="1">
      <c r="B22" s="21" t="s">
        <v>30</v>
      </c>
      <c r="C22" s="27"/>
      <c r="E22" s="27"/>
    </row>
    <row r="23" spans="2:8" ht="22.5" customHeight="1">
      <c r="B23" s="21" t="s">
        <v>118</v>
      </c>
      <c r="C23" s="27">
        <v>1500</v>
      </c>
      <c r="E23" s="27">
        <f>63300+1500</f>
        <v>64800</v>
      </c>
      <c r="G23" s="92" t="s">
        <v>263</v>
      </c>
      <c r="H23" s="27">
        <v>18338664.49</v>
      </c>
    </row>
    <row r="24" spans="2:8" ht="22.5" customHeight="1">
      <c r="B24" s="21" t="s">
        <v>233</v>
      </c>
      <c r="C24" s="27">
        <v>0</v>
      </c>
      <c r="E24" s="27">
        <f aca="true" t="shared" si="1" ref="E24:E33">+C24</f>
        <v>0</v>
      </c>
      <c r="G24" s="92" t="s">
        <v>264</v>
      </c>
      <c r="H24" s="27">
        <v>461509</v>
      </c>
    </row>
    <row r="25" spans="2:8" ht="22.5" customHeight="1">
      <c r="B25" s="21" t="s">
        <v>314</v>
      </c>
      <c r="C25" s="27">
        <v>0</v>
      </c>
      <c r="E25" s="27">
        <f t="shared" si="1"/>
        <v>0</v>
      </c>
      <c r="G25" s="92" t="s">
        <v>267</v>
      </c>
      <c r="H25" s="27">
        <v>879265.19</v>
      </c>
    </row>
    <row r="26" spans="2:5" ht="22.5" customHeight="1" hidden="1">
      <c r="B26" s="21" t="s">
        <v>117</v>
      </c>
      <c r="C26" s="27"/>
      <c r="E26" s="27">
        <f t="shared" si="1"/>
        <v>0</v>
      </c>
    </row>
    <row r="27" spans="2:5" ht="22.5" customHeight="1" hidden="1">
      <c r="B27" s="21" t="s">
        <v>112</v>
      </c>
      <c r="C27" s="27"/>
      <c r="E27" s="27">
        <f t="shared" si="1"/>
        <v>0</v>
      </c>
    </row>
    <row r="28" spans="2:8" ht="22.5" customHeight="1">
      <c r="B28" s="21" t="s">
        <v>113</v>
      </c>
      <c r="C28" s="27">
        <v>0</v>
      </c>
      <c r="E28" s="27">
        <f t="shared" si="1"/>
        <v>0</v>
      </c>
      <c r="H28" s="91">
        <f>SUM(H23:H27)</f>
        <v>19679438.68</v>
      </c>
    </row>
    <row r="29" spans="2:5" ht="22.5" customHeight="1">
      <c r="B29" s="21" t="s">
        <v>115</v>
      </c>
      <c r="C29" s="27">
        <v>20</v>
      </c>
      <c r="E29" s="27">
        <f t="shared" si="1"/>
        <v>20</v>
      </c>
    </row>
    <row r="30" spans="2:5" ht="22.5" customHeight="1" hidden="1">
      <c r="B30" s="21" t="s">
        <v>141</v>
      </c>
      <c r="C30" s="27"/>
      <c r="E30" s="27">
        <f t="shared" si="1"/>
        <v>0</v>
      </c>
    </row>
    <row r="31" spans="2:5" ht="22.5" customHeight="1" hidden="1">
      <c r="B31" s="21" t="s">
        <v>110</v>
      </c>
      <c r="C31" s="27"/>
      <c r="E31" s="27">
        <f t="shared" si="1"/>
        <v>0</v>
      </c>
    </row>
    <row r="32" spans="2:9" ht="22.5" customHeight="1">
      <c r="B32" s="21" t="s">
        <v>251</v>
      </c>
      <c r="C32" s="27">
        <v>10680</v>
      </c>
      <c r="E32" s="27">
        <f t="shared" si="1"/>
        <v>10680</v>
      </c>
      <c r="G32" s="27" t="s">
        <v>236</v>
      </c>
      <c r="I32" s="27">
        <f>+H28-C34</f>
        <v>3284636.5999999996</v>
      </c>
    </row>
    <row r="33" spans="2:5" ht="22.5" customHeight="1">
      <c r="B33" s="21" t="s">
        <v>141</v>
      </c>
      <c r="C33" s="27">
        <v>0</v>
      </c>
      <c r="E33" s="27">
        <f t="shared" si="1"/>
        <v>0</v>
      </c>
    </row>
    <row r="34" spans="2:7" ht="22.5" customHeight="1" thickBot="1">
      <c r="B34" s="28" t="s">
        <v>31</v>
      </c>
      <c r="C34" s="29">
        <f>SUM(C5:C33)</f>
        <v>16394802.08</v>
      </c>
      <c r="D34" s="30"/>
      <c r="E34" s="29">
        <f>SUM(E5:E33)</f>
        <v>53390711.71000001</v>
      </c>
      <c r="G34" s="27" t="s">
        <v>266</v>
      </c>
    </row>
    <row r="35" spans="2:5" ht="22.5" customHeight="1" thickTop="1">
      <c r="B35" s="28"/>
      <c r="C35" s="75"/>
      <c r="D35" s="30"/>
      <c r="E35" s="75"/>
    </row>
    <row r="36" spans="2:5" ht="22.5" customHeight="1">
      <c r="B36" s="28"/>
      <c r="C36" s="75"/>
      <c r="D36" s="30"/>
      <c r="E36" s="75"/>
    </row>
    <row r="37" spans="2:5" ht="22.5" customHeight="1">
      <c r="B37" s="28" t="s">
        <v>236</v>
      </c>
      <c r="C37" s="75"/>
      <c r="D37" s="30"/>
      <c r="E37" s="75"/>
    </row>
    <row r="38" spans="2:5" ht="22.5" customHeight="1">
      <c r="B38" s="28"/>
      <c r="C38" s="75"/>
      <c r="D38" s="30"/>
      <c r="E38" s="75"/>
    </row>
    <row r="39" spans="2:5" ht="22.5" customHeight="1">
      <c r="B39" s="28"/>
      <c r="C39" s="75"/>
      <c r="D39" s="30"/>
      <c r="E39" s="75"/>
    </row>
    <row r="40" spans="2:5" ht="22.5" customHeight="1">
      <c r="B40" s="28"/>
      <c r="C40" s="75"/>
      <c r="D40" s="30"/>
      <c r="E40" s="75"/>
    </row>
    <row r="41" spans="2:5" ht="22.5" customHeight="1">
      <c r="B41" s="28"/>
      <c r="C41" s="75"/>
      <c r="D41" s="30"/>
      <c r="E41" s="75"/>
    </row>
    <row r="42" spans="2:5" ht="22.5" customHeight="1">
      <c r="B42" s="28"/>
      <c r="C42" s="75"/>
      <c r="D42" s="30"/>
      <c r="E42" s="75"/>
    </row>
    <row r="43" spans="2:5" ht="22.5" customHeight="1">
      <c r="B43" s="28"/>
      <c r="C43" s="75"/>
      <c r="D43" s="30"/>
      <c r="E43" s="75"/>
    </row>
    <row r="44" spans="2:5" ht="22.5" customHeight="1">
      <c r="B44" s="28"/>
      <c r="C44" s="75"/>
      <c r="D44" s="30"/>
      <c r="E44" s="75"/>
    </row>
    <row r="45" spans="2:5" ht="22.5" customHeight="1">
      <c r="B45" s="28" t="s">
        <v>293</v>
      </c>
      <c r="C45" s="75"/>
      <c r="D45" s="30"/>
      <c r="E45" s="75"/>
    </row>
    <row r="46" spans="1:5" ht="22.5" customHeight="1">
      <c r="A46" s="25" t="s">
        <v>13</v>
      </c>
      <c r="B46" s="30"/>
      <c r="C46" s="26" t="s">
        <v>7</v>
      </c>
      <c r="E46" s="26" t="s">
        <v>46</v>
      </c>
    </row>
    <row r="47" spans="2:7" ht="22.5" customHeight="1">
      <c r="B47" s="21" t="s">
        <v>85</v>
      </c>
      <c r="C47" s="27">
        <v>14552326.94</v>
      </c>
      <c r="E47" s="27">
        <f>8548195.88+15300+14552326.94</f>
        <v>23115822.82</v>
      </c>
      <c r="G47" s="27" t="s">
        <v>256</v>
      </c>
    </row>
    <row r="48" spans="2:5" ht="22.5" customHeight="1" hidden="1">
      <c r="B48" s="21" t="s">
        <v>122</v>
      </c>
      <c r="C48" s="27"/>
      <c r="E48" s="27">
        <f aca="true" t="shared" si="2" ref="E48:E62">+C48</f>
        <v>0</v>
      </c>
    </row>
    <row r="49" spans="2:5" ht="22.5" customHeight="1" hidden="1">
      <c r="B49" s="21" t="s">
        <v>176</v>
      </c>
      <c r="C49" s="27"/>
      <c r="E49" s="27">
        <f t="shared" si="2"/>
        <v>0</v>
      </c>
    </row>
    <row r="50" spans="2:5" ht="22.5" customHeight="1" hidden="1">
      <c r="B50" s="21" t="s">
        <v>133</v>
      </c>
      <c r="C50" s="27"/>
      <c r="E50" s="27">
        <f t="shared" si="2"/>
        <v>0</v>
      </c>
    </row>
    <row r="51" spans="2:7" ht="22.5" customHeight="1">
      <c r="B51" s="21" t="s">
        <v>86</v>
      </c>
      <c r="C51" s="27">
        <f>+หมายเหตุ!D31</f>
        <v>1028367.48</v>
      </c>
      <c r="E51" s="27">
        <f>715046.52+1028367.48</f>
        <v>1743414</v>
      </c>
      <c r="G51" s="27" t="s">
        <v>249</v>
      </c>
    </row>
    <row r="52" spans="2:7" ht="22.5" customHeight="1">
      <c r="B52" s="64" t="s">
        <v>87</v>
      </c>
      <c r="C52" s="27">
        <v>0</v>
      </c>
      <c r="E52" s="27">
        <v>0</v>
      </c>
      <c r="G52" s="27" t="s">
        <v>248</v>
      </c>
    </row>
    <row r="53" spans="2:5" ht="22.5" customHeight="1">
      <c r="B53" s="64" t="s">
        <v>262</v>
      </c>
      <c r="C53" s="27">
        <v>0</v>
      </c>
      <c r="E53" s="27">
        <f t="shared" si="2"/>
        <v>0</v>
      </c>
    </row>
    <row r="54" spans="2:7" ht="22.5" customHeight="1">
      <c r="B54" s="21" t="s">
        <v>88</v>
      </c>
      <c r="C54" s="27">
        <v>3252420</v>
      </c>
      <c r="E54" s="27">
        <f>45944+3252420</f>
        <v>3298364</v>
      </c>
      <c r="G54" s="27" t="s">
        <v>248</v>
      </c>
    </row>
    <row r="55" spans="2:7" ht="22.5" customHeight="1">
      <c r="B55" s="21" t="s">
        <v>89</v>
      </c>
      <c r="C55" s="27">
        <v>0</v>
      </c>
      <c r="E55" s="27">
        <f t="shared" si="2"/>
        <v>0</v>
      </c>
      <c r="G55" s="27" t="s">
        <v>248</v>
      </c>
    </row>
    <row r="56" spans="2:5" ht="22.5" customHeight="1">
      <c r="B56" s="21" t="s">
        <v>312</v>
      </c>
      <c r="C56" s="27">
        <v>23600</v>
      </c>
      <c r="E56" s="27">
        <v>23600</v>
      </c>
    </row>
    <row r="57" spans="2:7" ht="22.5" customHeight="1">
      <c r="B57" s="21" t="s">
        <v>105</v>
      </c>
      <c r="C57" s="27">
        <v>237847.96</v>
      </c>
      <c r="E57" s="27">
        <v>237847.96</v>
      </c>
      <c r="G57" s="27" t="s">
        <v>248</v>
      </c>
    </row>
    <row r="58" spans="2:7" ht="22.5" customHeight="1">
      <c r="B58" s="21" t="s">
        <v>91</v>
      </c>
      <c r="C58" s="27">
        <v>0</v>
      </c>
      <c r="E58" s="27">
        <v>78200</v>
      </c>
      <c r="G58" s="27" t="s">
        <v>248</v>
      </c>
    </row>
    <row r="59" spans="2:7" ht="22.5" customHeight="1">
      <c r="B59" s="21" t="s">
        <v>21</v>
      </c>
      <c r="C59" s="27">
        <v>132800</v>
      </c>
      <c r="E59" s="27">
        <f>34000+132800+400786.5</f>
        <v>567586.5</v>
      </c>
      <c r="G59" s="27" t="s">
        <v>248</v>
      </c>
    </row>
    <row r="60" spans="2:7" ht="22.5" customHeight="1">
      <c r="B60" s="21" t="s">
        <v>30</v>
      </c>
      <c r="C60" s="27">
        <v>0</v>
      </c>
      <c r="E60" s="27">
        <f t="shared" si="2"/>
        <v>0</v>
      </c>
      <c r="G60" s="27" t="s">
        <v>248</v>
      </c>
    </row>
    <row r="61" spans="2:5" ht="22.5" customHeight="1" hidden="1">
      <c r="B61" s="21" t="s">
        <v>90</v>
      </c>
      <c r="C61" s="27"/>
      <c r="E61" s="27">
        <f t="shared" si="2"/>
        <v>0</v>
      </c>
    </row>
    <row r="62" spans="2:5" ht="22.5" customHeight="1">
      <c r="B62" s="21" t="s">
        <v>111</v>
      </c>
      <c r="C62" s="27">
        <v>0</v>
      </c>
      <c r="E62" s="27">
        <f t="shared" si="2"/>
        <v>0</v>
      </c>
    </row>
    <row r="63" spans="2:7" ht="22.5" customHeight="1" thickBot="1">
      <c r="B63" s="28" t="s">
        <v>31</v>
      </c>
      <c r="C63" s="29">
        <f>SUM(C47:C62)</f>
        <v>19227362.380000003</v>
      </c>
      <c r="D63" s="30"/>
      <c r="E63" s="29">
        <f>SUM(E47:E62)</f>
        <v>29064835.28</v>
      </c>
      <c r="G63" s="27">
        <v>0</v>
      </c>
    </row>
    <row r="64" spans="2:7" ht="22.5" customHeight="1" thickBot="1" thickTop="1">
      <c r="B64" s="30" t="s">
        <v>50</v>
      </c>
      <c r="C64" s="31">
        <f>C34-C63</f>
        <v>-2832560.3000000026</v>
      </c>
      <c r="D64" s="30"/>
      <c r="E64" s="31">
        <f>E34-E63</f>
        <v>24325876.430000007</v>
      </c>
      <c r="G64" s="27">
        <f>+E63-Sheet1!A139</f>
        <v>-216188620.28000003</v>
      </c>
    </row>
    <row r="65" ht="22.5" customHeight="1" thickTop="1">
      <c r="B65" s="21" t="s">
        <v>236</v>
      </c>
    </row>
    <row r="68" spans="7:8" ht="22.5" customHeight="1">
      <c r="G68" s="27">
        <v>19227962.38</v>
      </c>
      <c r="H68" s="91">
        <f>+G68-C63</f>
        <v>599.9999999962747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31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95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96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97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98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99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236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106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6"/>
      <c r="L7" s="66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49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250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100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101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102</v>
      </c>
      <c r="G11" s="61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103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189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81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140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158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145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167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146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213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214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215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216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217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218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261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222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147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148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149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170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150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219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151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171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152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153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172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161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166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168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228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154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155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156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220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229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231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232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120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60">
        <f t="shared" si="0"/>
        <v>0</v>
      </c>
      <c r="F53" s="59" t="s">
        <v>91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60">
        <f t="shared" si="0"/>
        <v>0</v>
      </c>
      <c r="F54" s="59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60">
        <f t="shared" si="0"/>
        <v>0</v>
      </c>
      <c r="F55" s="59" t="s">
        <v>195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60">
        <f t="shared" si="0"/>
        <v>0</v>
      </c>
      <c r="F56" s="59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60" t="str">
        <f t="shared" si="0"/>
        <v>80</v>
      </c>
      <c r="F57" s="59" t="s">
        <v>183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60"/>
      <c r="F58" s="59" t="s">
        <v>181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60" t="str">
        <f t="shared" si="0"/>
        <v>27</v>
      </c>
      <c r="F59" s="59" t="s">
        <v>135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60">
        <f t="shared" si="0"/>
        <v>0</v>
      </c>
      <c r="F60" s="59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60" t="str">
        <f t="shared" si="0"/>
        <v>18</v>
      </c>
      <c r="F61" s="59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60" t="str">
        <f t="shared" si="0"/>
        <v>55</v>
      </c>
      <c r="F62" s="59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60">
        <f>IF(A63-INT(A63)&lt;&gt;0,RIGHT(C63,2),)</f>
        <v>0</v>
      </c>
      <c r="F63" s="59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60">
        <f t="shared" si="0"/>
        <v>0</v>
      </c>
      <c r="F64" s="59" t="s">
        <v>110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6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253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135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181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182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183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6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6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6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162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6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134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77</v>
      </c>
      <c r="G84" s="61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76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116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206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4" t="s">
        <v>271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4" t="s">
        <v>272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124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125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123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120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91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195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82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254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270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204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158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145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167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146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213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253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214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215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216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217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218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223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147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148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149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170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219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174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151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152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175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153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161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166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234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235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156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220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229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169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164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165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273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166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268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269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90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6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236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124" zoomScaleSheetLayoutView="124" zoomScalePageLayoutView="0" workbookViewId="0" topLeftCell="A19">
      <selection activeCell="C18" sqref="C18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6384" width="9.140625" style="22" customWidth="1"/>
  </cols>
  <sheetData>
    <row r="1" spans="1:6" ht="23.25" customHeight="1">
      <c r="A1" s="174" t="s">
        <v>208</v>
      </c>
      <c r="B1" s="174"/>
      <c r="C1" s="174"/>
      <c r="D1" s="174"/>
      <c r="E1" s="174"/>
      <c r="F1" s="174"/>
    </row>
    <row r="2" spans="1:6" ht="23.25" customHeight="1">
      <c r="A2" s="174" t="s">
        <v>51</v>
      </c>
      <c r="B2" s="174"/>
      <c r="C2" s="174"/>
      <c r="D2" s="174"/>
      <c r="E2" s="174"/>
      <c r="F2" s="174"/>
    </row>
    <row r="3" spans="1:6" ht="23.25" customHeight="1">
      <c r="A3" s="172" t="s">
        <v>308</v>
      </c>
      <c r="B3" s="172"/>
      <c r="C3" s="172"/>
      <c r="D3" s="172"/>
      <c r="E3" s="172"/>
      <c r="F3" s="172"/>
    </row>
    <row r="4" spans="1:6" ht="23.25" customHeight="1">
      <c r="A4" s="175" t="s">
        <v>4</v>
      </c>
      <c r="B4" s="176"/>
      <c r="C4" s="177"/>
      <c r="D4" s="39" t="s">
        <v>52</v>
      </c>
      <c r="E4" s="39" t="s">
        <v>53</v>
      </c>
      <c r="F4" s="39" t="s">
        <v>54</v>
      </c>
    </row>
    <row r="5" spans="1:6" ht="22.5" customHeight="1" hidden="1">
      <c r="A5" s="157" t="s">
        <v>288</v>
      </c>
      <c r="B5" s="158"/>
      <c r="C5" s="159"/>
      <c r="D5" s="40">
        <v>111100</v>
      </c>
      <c r="E5" s="35">
        <v>0</v>
      </c>
      <c r="F5" s="41"/>
    </row>
    <row r="6" spans="1:9" ht="22.5" customHeight="1">
      <c r="A6" s="160" t="s">
        <v>55</v>
      </c>
      <c r="B6" s="161"/>
      <c r="C6" s="162"/>
      <c r="D6" s="42" t="s">
        <v>224</v>
      </c>
      <c r="E6" s="23">
        <v>45083048.28</v>
      </c>
      <c r="F6" s="23"/>
      <c r="H6" s="93"/>
      <c r="I6" s="58"/>
    </row>
    <row r="7" spans="1:9" ht="22.5" customHeight="1">
      <c r="A7" s="43" t="s">
        <v>80</v>
      </c>
      <c r="B7" s="44"/>
      <c r="C7" s="45"/>
      <c r="D7" s="42" t="s">
        <v>224</v>
      </c>
      <c r="E7" s="23">
        <v>68383.72</v>
      </c>
      <c r="F7" s="23"/>
      <c r="H7" s="93" t="s">
        <v>289</v>
      </c>
      <c r="I7" s="58"/>
    </row>
    <row r="8" spans="1:9" ht="22.5" customHeight="1">
      <c r="A8" s="43" t="s">
        <v>78</v>
      </c>
      <c r="B8" s="44"/>
      <c r="C8" s="45"/>
      <c r="D8" s="42" t="s">
        <v>225</v>
      </c>
      <c r="E8" s="23">
        <v>5418604.7</v>
      </c>
      <c r="F8" s="23"/>
      <c r="H8" s="93"/>
      <c r="I8" s="58"/>
    </row>
    <row r="9" spans="1:9" ht="22.5" customHeight="1">
      <c r="A9" s="43" t="s">
        <v>73</v>
      </c>
      <c r="B9" s="44"/>
      <c r="C9" s="45"/>
      <c r="D9" s="42" t="s">
        <v>226</v>
      </c>
      <c r="E9" s="23">
        <v>2583650.61</v>
      </c>
      <c r="F9" s="23"/>
      <c r="H9" s="93"/>
      <c r="I9" s="58"/>
    </row>
    <row r="10" spans="1:9" ht="22.5" customHeight="1">
      <c r="A10" s="43" t="s">
        <v>142</v>
      </c>
      <c r="B10" s="44"/>
      <c r="C10" s="45"/>
      <c r="D10" s="42" t="s">
        <v>224</v>
      </c>
      <c r="E10" s="23">
        <v>526908.86</v>
      </c>
      <c r="F10" s="23"/>
      <c r="H10" s="93"/>
      <c r="I10" s="58"/>
    </row>
    <row r="11" spans="1:9" ht="22.5" customHeight="1">
      <c r="A11" s="43" t="s">
        <v>143</v>
      </c>
      <c r="B11" s="44"/>
      <c r="C11" s="45"/>
      <c r="D11" s="42" t="s">
        <v>225</v>
      </c>
      <c r="E11" s="23">
        <v>10000000</v>
      </c>
      <c r="F11" s="23"/>
      <c r="H11" s="93"/>
      <c r="I11" s="58"/>
    </row>
    <row r="12" spans="1:9" ht="22.5" customHeight="1">
      <c r="A12" s="43" t="s">
        <v>159</v>
      </c>
      <c r="B12" s="44"/>
      <c r="C12" s="45"/>
      <c r="D12" s="42" t="s">
        <v>224</v>
      </c>
      <c r="E12" s="23">
        <v>379485.69</v>
      </c>
      <c r="F12" s="23"/>
      <c r="H12" s="93">
        <f>+E12+E11+E10+E9+E8+E7+E6</f>
        <v>64060081.86</v>
      </c>
      <c r="I12" s="58"/>
    </row>
    <row r="13" spans="1:9" ht="22.5" customHeight="1">
      <c r="A13" s="47" t="s">
        <v>28</v>
      </c>
      <c r="B13" s="48"/>
      <c r="C13" s="49"/>
      <c r="D13" s="65" t="s">
        <v>205</v>
      </c>
      <c r="E13" s="62">
        <v>9141700.08</v>
      </c>
      <c r="F13" s="23"/>
      <c r="I13" s="58"/>
    </row>
    <row r="14" spans="1:6" ht="22.5" customHeight="1">
      <c r="A14" s="43" t="s">
        <v>121</v>
      </c>
      <c r="B14" s="44"/>
      <c r="C14" s="45"/>
      <c r="D14" s="42" t="s">
        <v>201</v>
      </c>
      <c r="E14" s="23">
        <v>88852383</v>
      </c>
      <c r="F14" s="23"/>
    </row>
    <row r="15" spans="1:6" ht="22.5" customHeight="1" hidden="1">
      <c r="A15" s="43" t="s">
        <v>110</v>
      </c>
      <c r="B15" s="44"/>
      <c r="C15" s="45"/>
      <c r="D15" s="42" t="s">
        <v>199</v>
      </c>
      <c r="E15" s="23"/>
      <c r="F15" s="23"/>
    </row>
    <row r="16" spans="1:6" ht="22.5" customHeight="1">
      <c r="A16" s="43" t="s">
        <v>49</v>
      </c>
      <c r="B16" s="44"/>
      <c r="C16" s="45"/>
      <c r="D16" s="42" t="s">
        <v>184</v>
      </c>
      <c r="E16" s="23">
        <v>46351</v>
      </c>
      <c r="F16" s="23"/>
    </row>
    <row r="17" spans="1:6" ht="22.5" customHeight="1" hidden="1">
      <c r="A17" s="43" t="s">
        <v>290</v>
      </c>
      <c r="B17" s="44"/>
      <c r="C17" s="45"/>
      <c r="D17" s="42" t="s">
        <v>185</v>
      </c>
      <c r="E17" s="23"/>
      <c r="F17" s="23"/>
    </row>
    <row r="18" spans="1:6" ht="22.5" customHeight="1">
      <c r="A18" s="43" t="s">
        <v>79</v>
      </c>
      <c r="B18" s="44"/>
      <c r="C18" s="45"/>
      <c r="D18" s="42" t="s">
        <v>186</v>
      </c>
      <c r="E18" s="23">
        <v>58557</v>
      </c>
      <c r="F18" s="23"/>
    </row>
    <row r="19" spans="1:6" ht="22.5" customHeight="1">
      <c r="A19" s="43" t="s">
        <v>67</v>
      </c>
      <c r="B19" s="44"/>
      <c r="C19" s="45"/>
      <c r="D19" s="42" t="s">
        <v>187</v>
      </c>
      <c r="E19" s="23">
        <v>1602370</v>
      </c>
      <c r="F19" s="23"/>
    </row>
    <row r="20" spans="1:6" ht="22.5" customHeight="1">
      <c r="A20" s="43" t="s">
        <v>107</v>
      </c>
      <c r="B20" s="44"/>
      <c r="C20" s="45"/>
      <c r="D20" s="42" t="s">
        <v>188</v>
      </c>
      <c r="E20" s="62">
        <v>450700</v>
      </c>
      <c r="F20" s="23"/>
    </row>
    <row r="21" spans="1:6" ht="22.5" customHeight="1" hidden="1">
      <c r="A21" s="43" t="s">
        <v>206</v>
      </c>
      <c r="B21" s="44"/>
      <c r="C21" s="45"/>
      <c r="D21" s="42" t="s">
        <v>190</v>
      </c>
      <c r="E21" s="62"/>
      <c r="F21" s="23"/>
    </row>
    <row r="22" spans="1:6" ht="22.5" customHeight="1">
      <c r="A22" s="43" t="s">
        <v>313</v>
      </c>
      <c r="B22" s="44"/>
      <c r="C22" s="45"/>
      <c r="D22" s="42" t="s">
        <v>190</v>
      </c>
      <c r="E22" s="62">
        <v>23600</v>
      </c>
      <c r="F22" s="23"/>
    </row>
    <row r="23" spans="1:6" ht="22.5" customHeight="1">
      <c r="A23" s="43" t="s">
        <v>14</v>
      </c>
      <c r="B23" s="44"/>
      <c r="C23" s="45"/>
      <c r="D23" s="42" t="s">
        <v>197</v>
      </c>
      <c r="E23" s="23">
        <v>8787099</v>
      </c>
      <c r="F23" s="23"/>
    </row>
    <row r="24" spans="1:7" ht="22.5" customHeight="1">
      <c r="A24" s="43" t="s">
        <v>135</v>
      </c>
      <c r="B24" s="44"/>
      <c r="C24" s="45"/>
      <c r="D24" s="42" t="s">
        <v>200</v>
      </c>
      <c r="E24" s="23">
        <v>341940</v>
      </c>
      <c r="F24" s="23"/>
      <c r="G24" s="22" t="s">
        <v>257</v>
      </c>
    </row>
    <row r="25" spans="1:7" ht="22.5" customHeight="1">
      <c r="A25" s="43" t="s">
        <v>207</v>
      </c>
      <c r="B25" s="44"/>
      <c r="C25" s="45"/>
      <c r="D25" s="42" t="s">
        <v>198</v>
      </c>
      <c r="E25" s="23">
        <v>4189339.59</v>
      </c>
      <c r="F25" s="23"/>
      <c r="G25" s="22" t="s">
        <v>257</v>
      </c>
    </row>
    <row r="26" spans="1:7" ht="22.5" customHeight="1">
      <c r="A26" s="43" t="s">
        <v>211</v>
      </c>
      <c r="B26" s="44"/>
      <c r="C26" s="45"/>
      <c r="D26" s="42" t="s">
        <v>198</v>
      </c>
      <c r="E26" s="23">
        <v>167360</v>
      </c>
      <c r="F26" s="23"/>
      <c r="G26" s="22" t="s">
        <v>257</v>
      </c>
    </row>
    <row r="27" spans="1:8" ht="22.5" customHeight="1">
      <c r="A27" s="43" t="s">
        <v>212</v>
      </c>
      <c r="B27" s="44"/>
      <c r="C27" s="45"/>
      <c r="D27" s="42" t="s">
        <v>198</v>
      </c>
      <c r="E27" s="23">
        <v>6316742.02</v>
      </c>
      <c r="F27" s="23"/>
      <c r="G27" s="22" t="s">
        <v>257</v>
      </c>
      <c r="H27" s="58"/>
    </row>
    <row r="28" spans="1:8" ht="22.5" customHeight="1">
      <c r="A28" s="43" t="s">
        <v>15</v>
      </c>
      <c r="B28" s="44"/>
      <c r="C28" s="45"/>
      <c r="D28" s="42" t="s">
        <v>37</v>
      </c>
      <c r="E28" s="23">
        <v>334183.88</v>
      </c>
      <c r="F28" s="23"/>
      <c r="H28" s="58">
        <f>+E23+E24+E25+E26+E27+E28+E29+E30+E31</f>
        <v>22195869.019999996</v>
      </c>
    </row>
    <row r="29" spans="1:6" ht="22.5" customHeight="1">
      <c r="A29" s="43" t="s">
        <v>16</v>
      </c>
      <c r="B29" s="44"/>
      <c r="C29" s="45"/>
      <c r="D29" s="42" t="s">
        <v>38</v>
      </c>
      <c r="E29" s="23">
        <v>1132523.42</v>
      </c>
      <c r="F29" s="23"/>
    </row>
    <row r="30" spans="1:6" ht="22.5" customHeight="1">
      <c r="A30" s="43" t="s">
        <v>17</v>
      </c>
      <c r="B30" s="44"/>
      <c r="C30" s="45"/>
      <c r="D30" s="42" t="s">
        <v>39</v>
      </c>
      <c r="E30" s="23">
        <v>616975.32</v>
      </c>
      <c r="F30" s="23"/>
    </row>
    <row r="31" spans="1:6" ht="22.5" customHeight="1">
      <c r="A31" s="43" t="s">
        <v>18</v>
      </c>
      <c r="B31" s="44"/>
      <c r="C31" s="45"/>
      <c r="D31" s="42" t="s">
        <v>40</v>
      </c>
      <c r="E31" s="23">
        <v>309705.79</v>
      </c>
      <c r="F31" s="23"/>
    </row>
    <row r="32" spans="1:6" ht="22.5" customHeight="1">
      <c r="A32" s="43" t="s">
        <v>19</v>
      </c>
      <c r="B32" s="44"/>
      <c r="C32" s="45"/>
      <c r="D32" s="42" t="s">
        <v>41</v>
      </c>
      <c r="E32" s="23">
        <v>40453.8</v>
      </c>
      <c r="F32" s="23"/>
    </row>
    <row r="33" spans="1:6" ht="22.5" customHeight="1">
      <c r="A33" s="116" t="s">
        <v>20</v>
      </c>
      <c r="B33" s="46"/>
      <c r="C33" s="45"/>
      <c r="D33" s="36" t="s">
        <v>42</v>
      </c>
      <c r="E33" s="23">
        <v>0</v>
      </c>
      <c r="F33" s="23"/>
    </row>
    <row r="34" spans="1:8" ht="22.5" customHeight="1">
      <c r="A34" s="37" t="s">
        <v>10</v>
      </c>
      <c r="B34" s="46"/>
      <c r="C34" s="45"/>
      <c r="D34" s="36" t="s">
        <v>74</v>
      </c>
      <c r="E34" s="23">
        <v>804000</v>
      </c>
      <c r="F34" s="23"/>
      <c r="H34" s="58">
        <f>+E34+E33+E32+E31+E30+E29+E28+E27+E26+E25+E24+E23</f>
        <v>23040322.82</v>
      </c>
    </row>
    <row r="35" spans="1:6" ht="22.5" customHeight="1" hidden="1">
      <c r="A35" s="37" t="s">
        <v>162</v>
      </c>
      <c r="B35" s="46"/>
      <c r="C35" s="45"/>
      <c r="D35" s="36" t="s">
        <v>163</v>
      </c>
      <c r="E35" s="23"/>
      <c r="F35" s="23"/>
    </row>
    <row r="36" spans="1:6" ht="22.5" customHeight="1">
      <c r="A36" s="37" t="s">
        <v>291</v>
      </c>
      <c r="B36" s="46"/>
      <c r="C36" s="45"/>
      <c r="D36" s="36" t="s">
        <v>193</v>
      </c>
      <c r="E36" s="23" t="s">
        <v>236</v>
      </c>
      <c r="F36" s="23">
        <v>0</v>
      </c>
    </row>
    <row r="37" spans="1:9" ht="22.5" customHeight="1">
      <c r="A37" s="43"/>
      <c r="B37" s="44" t="s">
        <v>119</v>
      </c>
      <c r="C37" s="45"/>
      <c r="D37" s="42" t="s">
        <v>227</v>
      </c>
      <c r="E37" s="23"/>
      <c r="F37" s="23">
        <v>46702688.01</v>
      </c>
      <c r="H37" s="22" t="s">
        <v>243</v>
      </c>
      <c r="I37" s="58"/>
    </row>
    <row r="38" spans="1:8" ht="22.5" customHeight="1">
      <c r="A38" s="47"/>
      <c r="B38" s="48" t="s">
        <v>72</v>
      </c>
      <c r="C38" s="49"/>
      <c r="D38" s="42" t="s">
        <v>191</v>
      </c>
      <c r="E38" s="23"/>
      <c r="F38" s="117">
        <f>+หมายเหตุ!E31</f>
        <v>5855977.300000001</v>
      </c>
      <c r="H38" s="22" t="s">
        <v>249</v>
      </c>
    </row>
    <row r="39" spans="1:6" ht="22.5" customHeight="1" hidden="1">
      <c r="A39" s="47"/>
      <c r="B39" s="48" t="s">
        <v>195</v>
      </c>
      <c r="C39" s="49"/>
      <c r="D39" s="42" t="s">
        <v>196</v>
      </c>
      <c r="E39" s="23"/>
      <c r="F39" s="23">
        <v>0</v>
      </c>
    </row>
    <row r="40" spans="1:6" ht="22.5" customHeight="1">
      <c r="A40" s="47"/>
      <c r="B40" s="48" t="s">
        <v>21</v>
      </c>
      <c r="C40" s="49"/>
      <c r="D40" s="42" t="s">
        <v>194</v>
      </c>
      <c r="E40" s="23"/>
      <c r="F40" s="23">
        <v>4780000</v>
      </c>
    </row>
    <row r="41" spans="1:6" ht="22.5" customHeight="1" hidden="1">
      <c r="A41" s="47"/>
      <c r="B41" s="48" t="s">
        <v>91</v>
      </c>
      <c r="C41" s="49"/>
      <c r="D41" s="42" t="s">
        <v>193</v>
      </c>
      <c r="E41" s="23"/>
      <c r="F41" s="23"/>
    </row>
    <row r="42" spans="1:6" ht="22.5" customHeight="1" hidden="1">
      <c r="A42" s="47"/>
      <c r="B42" s="48" t="s">
        <v>292</v>
      </c>
      <c r="C42" s="49"/>
      <c r="D42" s="42" t="s">
        <v>203</v>
      </c>
      <c r="E42" s="23"/>
      <c r="F42" s="23"/>
    </row>
    <row r="43" spans="1:6" ht="22.5" customHeight="1">
      <c r="A43" s="47"/>
      <c r="B43" s="48" t="s">
        <v>120</v>
      </c>
      <c r="C43" s="49"/>
      <c r="D43" s="42" t="s">
        <v>192</v>
      </c>
      <c r="E43" s="23"/>
      <c r="F43" s="23">
        <v>28507322.96</v>
      </c>
    </row>
    <row r="44" spans="1:6" ht="22.5" customHeight="1">
      <c r="A44" s="47"/>
      <c r="B44" s="48" t="s">
        <v>12</v>
      </c>
      <c r="C44" s="49"/>
      <c r="D44" s="65" t="s">
        <v>104</v>
      </c>
      <c r="E44" s="62"/>
      <c r="F44" s="62">
        <v>73017886.49</v>
      </c>
    </row>
    <row r="45" spans="1:6" ht="22.5" customHeight="1">
      <c r="A45" s="163"/>
      <c r="B45" s="48" t="s">
        <v>83</v>
      </c>
      <c r="C45" s="49"/>
      <c r="D45" s="155" t="s">
        <v>56</v>
      </c>
      <c r="E45" s="70"/>
      <c r="F45" s="70">
        <v>28412191</v>
      </c>
    </row>
    <row r="46" spans="1:8" ht="22.5" customHeight="1" thickBot="1">
      <c r="A46" s="164"/>
      <c r="B46" s="165"/>
      <c r="C46" s="166"/>
      <c r="D46" s="156"/>
      <c r="E46" s="167">
        <f>SUM(E6:E35)</f>
        <v>187276065.76</v>
      </c>
      <c r="F46" s="167">
        <f>SUM(F37:F45)</f>
        <v>187276065.76</v>
      </c>
      <c r="H46" s="58">
        <f>+F46-E46</f>
        <v>0</v>
      </c>
    </row>
    <row r="47" spans="1:10" s="19" customFormat="1" ht="20.25" customHeight="1" thickTop="1">
      <c r="A47" s="118"/>
      <c r="B47" s="118"/>
      <c r="C47" s="118"/>
      <c r="D47" s="118"/>
      <c r="E47" s="154" t="s">
        <v>236</v>
      </c>
      <c r="F47" s="118" t="s">
        <v>236</v>
      </c>
      <c r="G47" s="63"/>
      <c r="H47" s="63"/>
      <c r="J47" s="38"/>
    </row>
    <row r="48" spans="1:6" ht="22.5" customHeight="1">
      <c r="A48" s="171"/>
      <c r="B48" s="172"/>
      <c r="C48" s="173"/>
      <c r="D48" s="119"/>
      <c r="E48" s="119"/>
      <c r="F48" s="119"/>
    </row>
    <row r="49" spans="1:6" ht="22.5" customHeight="1">
      <c r="A49" s="47"/>
      <c r="B49" s="48"/>
      <c r="C49" s="49"/>
      <c r="D49" s="42"/>
      <c r="E49" s="23"/>
      <c r="F49" s="23"/>
    </row>
    <row r="50" spans="1:6" ht="22.5" customHeight="1">
      <c r="A50" s="69"/>
      <c r="B50" s="44"/>
      <c r="C50" s="49"/>
      <c r="D50" s="57"/>
      <c r="E50" s="70"/>
      <c r="F50" s="70"/>
    </row>
    <row r="51" spans="1:6" ht="22.5" customHeight="1">
      <c r="A51" s="69"/>
      <c r="B51" s="44"/>
      <c r="C51" s="49"/>
      <c r="D51" s="57"/>
      <c r="E51" s="70"/>
      <c r="F51" s="70"/>
    </row>
    <row r="52" spans="1:6" ht="22.5" customHeight="1">
      <c r="A52" s="69"/>
      <c r="B52" s="44"/>
      <c r="C52" s="49"/>
      <c r="D52" s="57"/>
      <c r="E52" s="70"/>
      <c r="F52" s="70"/>
    </row>
    <row r="53" spans="1:6" ht="22.5" customHeight="1">
      <c r="A53" s="69"/>
      <c r="B53" s="44"/>
      <c r="C53" s="49"/>
      <c r="D53" s="57"/>
      <c r="E53" s="70"/>
      <c r="F53" s="70"/>
    </row>
    <row r="54" spans="1:6" ht="22.5" customHeight="1">
      <c r="A54" s="69"/>
      <c r="B54" s="44"/>
      <c r="C54" s="49"/>
      <c r="D54" s="57"/>
      <c r="E54" s="70"/>
      <c r="F54" s="70"/>
    </row>
    <row r="55" spans="1:6" ht="22.5" customHeight="1">
      <c r="A55" s="69"/>
      <c r="B55" s="44"/>
      <c r="C55" s="49"/>
      <c r="D55" s="57"/>
      <c r="E55" s="70"/>
      <c r="F55" s="70"/>
    </row>
    <row r="56" spans="1:6" ht="22.5" customHeight="1">
      <c r="A56" s="69"/>
      <c r="B56" s="44"/>
      <c r="C56" s="49"/>
      <c r="D56" s="57"/>
      <c r="E56" s="70"/>
      <c r="F56" s="70"/>
    </row>
    <row r="57" spans="1:7" ht="22.5" customHeight="1">
      <c r="A57" s="69"/>
      <c r="B57" s="44"/>
      <c r="C57" s="49"/>
      <c r="D57" s="57"/>
      <c r="E57" s="70"/>
      <c r="F57" s="70"/>
      <c r="G57" s="22" t="s">
        <v>257</v>
      </c>
    </row>
    <row r="58" spans="1:7" ht="22.5" customHeight="1">
      <c r="A58" s="69"/>
      <c r="B58" s="44"/>
      <c r="C58" s="49"/>
      <c r="D58" s="57"/>
      <c r="E58" s="70"/>
      <c r="F58" s="70"/>
      <c r="G58" s="22" t="s">
        <v>257</v>
      </c>
    </row>
    <row r="59" spans="1:6" ht="22.5" customHeight="1">
      <c r="A59" s="69"/>
      <c r="B59" s="44"/>
      <c r="C59" s="49"/>
      <c r="D59" s="57"/>
      <c r="E59" s="70"/>
      <c r="F59" s="70"/>
    </row>
    <row r="60" spans="1:8" ht="22.5" customHeight="1">
      <c r="A60" s="69"/>
      <c r="B60" s="44"/>
      <c r="C60" s="49"/>
      <c r="D60" s="57"/>
      <c r="E60" s="70"/>
      <c r="F60" s="70"/>
      <c r="G60" s="22" t="s">
        <v>257</v>
      </c>
      <c r="H60" s="58">
        <f>SUM(F52:F60)</f>
        <v>0</v>
      </c>
    </row>
    <row r="61" spans="1:9" ht="22.5" customHeight="1">
      <c r="A61" s="120"/>
      <c r="B61" s="121"/>
      <c r="C61" s="122"/>
      <c r="D61" s="50"/>
      <c r="E61" s="123">
        <f>SUM(E6:E34)</f>
        <v>187276065.76</v>
      </c>
      <c r="F61" s="123">
        <f>SUM(F6:F60)</f>
        <v>374552131.52</v>
      </c>
      <c r="H61" s="58">
        <f>+F61-E61</f>
        <v>187276065.76</v>
      </c>
      <c r="I61" s="58">
        <f>E61-F61</f>
        <v>-187276065.76</v>
      </c>
    </row>
    <row r="62" spans="1:6" ht="22.5" customHeight="1">
      <c r="A62" s="51"/>
      <c r="B62" s="51"/>
      <c r="C62" s="52"/>
      <c r="D62" s="53"/>
      <c r="E62" s="54"/>
      <c r="F62" s="54"/>
    </row>
    <row r="63" spans="1:6" ht="22.5" customHeight="1">
      <c r="A63" s="51"/>
      <c r="B63" s="51"/>
      <c r="C63" s="52"/>
      <c r="D63" s="53"/>
      <c r="E63" s="54"/>
      <c r="F63" s="54"/>
    </row>
    <row r="64" spans="1:6" ht="22.5" customHeight="1">
      <c r="A64" s="51"/>
      <c r="B64" s="51"/>
      <c r="C64" s="52"/>
      <c r="D64" s="53"/>
      <c r="E64" s="54"/>
      <c r="F64" s="54"/>
    </row>
    <row r="65" spans="1:6" ht="22.5" customHeight="1">
      <c r="A65" s="51"/>
      <c r="B65" s="51"/>
      <c r="C65" s="52"/>
      <c r="D65" s="53"/>
      <c r="E65" s="54"/>
      <c r="F65" s="54"/>
    </row>
    <row r="66" spans="1:6" ht="22.5" customHeight="1">
      <c r="A66" s="51"/>
      <c r="B66" s="51"/>
      <c r="C66" s="52"/>
      <c r="D66" s="53"/>
      <c r="E66" s="54"/>
      <c r="F66" s="54"/>
    </row>
    <row r="67" spans="1:6" ht="22.5" customHeight="1">
      <c r="A67" s="51"/>
      <c r="B67" s="51"/>
      <c r="C67" s="52"/>
      <c r="D67" s="53"/>
      <c r="E67" s="54"/>
      <c r="F67" s="54"/>
    </row>
    <row r="68" spans="1:6" ht="22.5" customHeight="1">
      <c r="A68" s="51"/>
      <c r="B68" s="51"/>
      <c r="C68" s="52"/>
      <c r="D68" s="53"/>
      <c r="E68" s="54"/>
      <c r="F68" s="54"/>
    </row>
    <row r="69" spans="1:6" ht="22.5" customHeight="1">
      <c r="A69" s="51"/>
      <c r="B69" s="51"/>
      <c r="C69" s="52"/>
      <c r="D69" s="53"/>
      <c r="E69" s="54"/>
      <c r="F69" s="54"/>
    </row>
    <row r="70" spans="1:6" ht="22.5" customHeight="1">
      <c r="A70" s="51"/>
      <c r="B70" s="51"/>
      <c r="C70" s="52"/>
      <c r="D70" s="53"/>
      <c r="E70" s="54"/>
      <c r="F70" s="54"/>
    </row>
    <row r="71" spans="1:6" ht="22.5" customHeight="1">
      <c r="A71" s="51"/>
      <c r="B71" s="51"/>
      <c r="C71" s="52"/>
      <c r="D71" s="53"/>
      <c r="E71" s="54"/>
      <c r="F71" s="54"/>
    </row>
    <row r="72" spans="1:6" ht="22.5" customHeight="1">
      <c r="A72" s="51"/>
      <c r="B72" s="51"/>
      <c r="C72" s="52"/>
      <c r="D72" s="53"/>
      <c r="E72" s="54"/>
      <c r="F72" s="54"/>
    </row>
    <row r="73" spans="1:6" ht="22.5" customHeight="1">
      <c r="A73" s="51"/>
      <c r="B73" s="51"/>
      <c r="C73" s="52"/>
      <c r="D73" s="53"/>
      <c r="E73" s="54"/>
      <c r="F73" s="54"/>
    </row>
    <row r="74" spans="1:6" ht="22.5" customHeight="1">
      <c r="A74" s="51"/>
      <c r="B74" s="51"/>
      <c r="C74" s="52"/>
      <c r="D74" s="53"/>
      <c r="E74" s="54"/>
      <c r="F74" s="54"/>
    </row>
    <row r="75" spans="1:6" ht="23.25" customHeight="1">
      <c r="A75" s="51"/>
      <c r="B75" s="51"/>
      <c r="C75" s="52"/>
      <c r="D75" s="53"/>
      <c r="E75" s="54"/>
      <c r="F75" s="54"/>
    </row>
    <row r="76" spans="1:6" ht="23.25" customHeight="1">
      <c r="A76" s="51"/>
      <c r="B76" s="51"/>
      <c r="C76" s="52"/>
      <c r="D76" s="53"/>
      <c r="E76" s="54"/>
      <c r="F76" s="54"/>
    </row>
    <row r="77" spans="1:6" ht="23.25" customHeight="1">
      <c r="A77" s="51"/>
      <c r="B77" s="51"/>
      <c r="C77" s="52"/>
      <c r="D77" s="53"/>
      <c r="E77" s="54"/>
      <c r="F77" s="54"/>
    </row>
    <row r="78" spans="1:6" ht="23.25" customHeight="1">
      <c r="A78" s="51"/>
      <c r="B78" s="51"/>
      <c r="C78" s="52"/>
      <c r="D78" s="53"/>
      <c r="E78" s="54"/>
      <c r="F78" s="54"/>
    </row>
    <row r="79" spans="1:6" ht="23.25" customHeight="1">
      <c r="A79" s="51"/>
      <c r="B79" s="51"/>
      <c r="C79" s="52"/>
      <c r="D79" s="53"/>
      <c r="E79" s="54"/>
      <c r="F79" s="54"/>
    </row>
    <row r="80" spans="1:6" ht="23.25" customHeight="1">
      <c r="A80" s="51"/>
      <c r="B80" s="51"/>
      <c r="C80" s="52"/>
      <c r="D80" s="53"/>
      <c r="E80" s="54"/>
      <c r="F80" s="54"/>
    </row>
    <row r="81" spans="1:6" ht="23.25" customHeight="1">
      <c r="A81" s="51"/>
      <c r="B81" s="51"/>
      <c r="C81" s="52"/>
      <c r="D81" s="53"/>
      <c r="E81" s="54"/>
      <c r="F81" s="54"/>
    </row>
    <row r="82" spans="1:6" ht="23.25" customHeight="1">
      <c r="A82" s="51"/>
      <c r="B82" s="51"/>
      <c r="C82" s="52"/>
      <c r="D82" s="53"/>
      <c r="E82" s="54"/>
      <c r="F82" s="54"/>
    </row>
    <row r="83" spans="1:6" ht="21.75" customHeight="1">
      <c r="A83" s="51"/>
      <c r="B83" s="51"/>
      <c r="C83" s="52"/>
      <c r="D83" s="53"/>
      <c r="E83" s="54"/>
      <c r="F83" s="54"/>
    </row>
    <row r="84" spans="1:6" ht="21.75" customHeight="1">
      <c r="A84" s="51"/>
      <c r="B84" s="51"/>
      <c r="C84" s="52"/>
      <c r="D84" s="53"/>
      <c r="E84" s="54"/>
      <c r="F84" s="54"/>
    </row>
  </sheetData>
  <sheetProtection/>
  <mergeCells count="5">
    <mergeCell ref="A48:C48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4" r:id="rId1"/>
  <rowBreaks count="2" manualBreakCount="2">
    <brk id="46" max="10" man="1"/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9">
      <selection activeCell="H33" sqref="H33"/>
    </sheetView>
  </sheetViews>
  <sheetFormatPr defaultColWidth="9.140625" defaultRowHeight="21.75"/>
  <cols>
    <col min="1" max="1" width="43.7109375" style="4" customWidth="1"/>
    <col min="2" max="2" width="14.8515625" style="4" customWidth="1"/>
    <col min="3" max="3" width="14.7109375" style="4" customWidth="1"/>
    <col min="4" max="4" width="14.8515625" style="4" customWidth="1"/>
    <col min="5" max="5" width="14.8515625" style="73" customWidth="1"/>
    <col min="6" max="16384" width="9.140625" style="4" customWidth="1"/>
  </cols>
  <sheetData>
    <row r="1" spans="1:5" ht="23.25">
      <c r="A1" s="178" t="s">
        <v>208</v>
      </c>
      <c r="B1" s="178"/>
      <c r="C1" s="178"/>
      <c r="D1" s="178"/>
      <c r="E1" s="178"/>
    </row>
    <row r="2" spans="1:7" ht="23.25">
      <c r="A2" s="178" t="s">
        <v>57</v>
      </c>
      <c r="B2" s="178"/>
      <c r="C2" s="178"/>
      <c r="D2" s="178"/>
      <c r="E2" s="178"/>
      <c r="G2" s="4" t="s">
        <v>236</v>
      </c>
    </row>
    <row r="3" spans="1:5" ht="23.25">
      <c r="A3" s="178" t="s">
        <v>309</v>
      </c>
      <c r="B3" s="178"/>
      <c r="C3" s="178"/>
      <c r="D3" s="178"/>
      <c r="E3" s="178"/>
    </row>
    <row r="4" spans="1:5" ht="23.25">
      <c r="A4" s="9"/>
      <c r="B4" s="9"/>
      <c r="C4" s="9"/>
      <c r="D4" s="9"/>
      <c r="E4" s="9"/>
    </row>
    <row r="5" spans="1:6" ht="23.25">
      <c r="A5" s="130" t="s">
        <v>11</v>
      </c>
      <c r="B5" s="16" t="s">
        <v>71</v>
      </c>
      <c r="C5" s="11" t="s">
        <v>58</v>
      </c>
      <c r="D5" s="11" t="s">
        <v>59</v>
      </c>
      <c r="E5" s="11" t="s">
        <v>60</v>
      </c>
      <c r="F5" s="6"/>
    </row>
    <row r="6" spans="1:7" ht="23.25">
      <c r="A6" s="147" t="s">
        <v>61</v>
      </c>
      <c r="B6" s="148">
        <v>15364.39</v>
      </c>
      <c r="C6" s="148">
        <v>29060.44</v>
      </c>
      <c r="D6" s="148">
        <v>15364.39</v>
      </c>
      <c r="E6" s="148">
        <f aca="true" t="shared" si="0" ref="E6:E30">+B6+C6-D6</f>
        <v>29060.440000000002</v>
      </c>
      <c r="G6" s="4" t="s">
        <v>255</v>
      </c>
    </row>
    <row r="7" spans="1:5" ht="23.25">
      <c r="A7" s="147" t="s">
        <v>63</v>
      </c>
      <c r="B7" s="148">
        <v>46453.95</v>
      </c>
      <c r="C7" s="148">
        <v>0</v>
      </c>
      <c r="D7" s="148">
        <v>0</v>
      </c>
      <c r="E7" s="148">
        <f t="shared" si="0"/>
        <v>46453.95</v>
      </c>
    </row>
    <row r="8" spans="1:5" ht="23.25">
      <c r="A8" s="147" t="s">
        <v>92</v>
      </c>
      <c r="B8" s="148">
        <v>0</v>
      </c>
      <c r="C8" s="148">
        <v>3016805</v>
      </c>
      <c r="D8" s="148">
        <v>0</v>
      </c>
      <c r="E8" s="148">
        <f t="shared" si="0"/>
        <v>3016805</v>
      </c>
    </row>
    <row r="9" spans="1:5" ht="23.25">
      <c r="A9" s="147" t="s">
        <v>62</v>
      </c>
      <c r="B9" s="148">
        <v>1453191</v>
      </c>
      <c r="C9" s="149">
        <v>11907</v>
      </c>
      <c r="D9" s="148">
        <v>22011</v>
      </c>
      <c r="E9" s="148">
        <f t="shared" si="0"/>
        <v>1443087</v>
      </c>
    </row>
    <row r="10" spans="1:5" ht="23.25">
      <c r="A10" s="147" t="s">
        <v>93</v>
      </c>
      <c r="B10" s="148">
        <f>+'[1]หมายเหตุ'!$E$10</f>
        <v>10350</v>
      </c>
      <c r="C10" s="148">
        <v>0</v>
      </c>
      <c r="D10" s="148">
        <v>0</v>
      </c>
      <c r="E10" s="148">
        <f t="shared" si="0"/>
        <v>10350</v>
      </c>
    </row>
    <row r="11" spans="1:5" ht="23.25">
      <c r="A11" s="147" t="s">
        <v>177</v>
      </c>
      <c r="B11" s="148">
        <v>460000</v>
      </c>
      <c r="C11" s="148">
        <v>0</v>
      </c>
      <c r="D11" s="148">
        <v>0</v>
      </c>
      <c r="E11" s="148">
        <f t="shared" si="0"/>
        <v>460000</v>
      </c>
    </row>
    <row r="12" spans="1:5" ht="23.25">
      <c r="A12" s="147" t="s">
        <v>9</v>
      </c>
      <c r="B12" s="148">
        <v>5938</v>
      </c>
      <c r="C12" s="148">
        <v>0</v>
      </c>
      <c r="D12" s="148">
        <v>0</v>
      </c>
      <c r="E12" s="148">
        <f t="shared" si="0"/>
        <v>5938</v>
      </c>
    </row>
    <row r="13" spans="1:5" ht="23.25">
      <c r="A13" s="147" t="s">
        <v>64</v>
      </c>
      <c r="B13" s="148">
        <v>126940.72</v>
      </c>
      <c r="C13" s="148">
        <v>0</v>
      </c>
      <c r="D13" s="148">
        <v>0</v>
      </c>
      <c r="E13" s="148">
        <f t="shared" si="0"/>
        <v>126940.72</v>
      </c>
    </row>
    <row r="14" spans="1:5" ht="23.25">
      <c r="A14" s="147" t="s">
        <v>114</v>
      </c>
      <c r="B14" s="148">
        <v>0</v>
      </c>
      <c r="C14" s="148">
        <v>4000</v>
      </c>
      <c r="D14" s="148">
        <v>4000</v>
      </c>
      <c r="E14" s="148">
        <f t="shared" si="0"/>
        <v>0</v>
      </c>
    </row>
    <row r="15" spans="1:10" ht="23.25">
      <c r="A15" s="147" t="s">
        <v>144</v>
      </c>
      <c r="B15" s="148">
        <v>0</v>
      </c>
      <c r="C15" s="148"/>
      <c r="D15" s="148"/>
      <c r="E15" s="148">
        <f t="shared" si="0"/>
        <v>0</v>
      </c>
      <c r="J15" s="4" t="s">
        <v>236</v>
      </c>
    </row>
    <row r="16" spans="1:5" ht="23.25">
      <c r="A16" s="147" t="s">
        <v>137</v>
      </c>
      <c r="B16" s="148">
        <f>+'[1]หมายเหตุ'!$E$16</f>
        <v>0</v>
      </c>
      <c r="C16" s="148"/>
      <c r="D16" s="148"/>
      <c r="E16" s="148">
        <f t="shared" si="0"/>
        <v>0</v>
      </c>
    </row>
    <row r="17" spans="1:5" ht="23.25">
      <c r="A17" s="147" t="s">
        <v>157</v>
      </c>
      <c r="B17" s="148">
        <v>409195.69</v>
      </c>
      <c r="C17" s="148">
        <v>0</v>
      </c>
      <c r="D17" s="148">
        <v>6110</v>
      </c>
      <c r="E17" s="148">
        <f>+B17+C17-D17</f>
        <v>403085.69</v>
      </c>
    </row>
    <row r="18" spans="1:5" ht="23.25">
      <c r="A18" s="147" t="s">
        <v>138</v>
      </c>
      <c r="B18" s="148">
        <v>158383</v>
      </c>
      <c r="C18" s="148">
        <v>155916</v>
      </c>
      <c r="D18" s="148">
        <v>158383</v>
      </c>
      <c r="E18" s="148">
        <f t="shared" si="0"/>
        <v>155916</v>
      </c>
    </row>
    <row r="19" spans="1:5" ht="23.25">
      <c r="A19" s="147" t="s">
        <v>70</v>
      </c>
      <c r="B19" s="148">
        <v>0</v>
      </c>
      <c r="C19" s="148">
        <v>68000</v>
      </c>
      <c r="D19" s="148">
        <v>68000</v>
      </c>
      <c r="E19" s="148">
        <f t="shared" si="0"/>
        <v>0</v>
      </c>
    </row>
    <row r="20" spans="1:5" ht="23.25">
      <c r="A20" s="147" t="s">
        <v>68</v>
      </c>
      <c r="B20" s="148">
        <v>0</v>
      </c>
      <c r="C20" s="148">
        <v>260400</v>
      </c>
      <c r="D20" s="148">
        <v>260400</v>
      </c>
      <c r="E20" s="148">
        <f t="shared" si="0"/>
        <v>0</v>
      </c>
    </row>
    <row r="21" spans="1:10" ht="23.25">
      <c r="A21" s="147" t="s">
        <v>69</v>
      </c>
      <c r="B21" s="148">
        <v>0</v>
      </c>
      <c r="C21" s="148">
        <v>250053.09</v>
      </c>
      <c r="D21" s="148">
        <v>250053.09</v>
      </c>
      <c r="E21" s="148">
        <f t="shared" si="0"/>
        <v>0</v>
      </c>
      <c r="J21" s="4" t="s">
        <v>236</v>
      </c>
    </row>
    <row r="22" spans="1:5" ht="23.25">
      <c r="A22" s="150" t="s">
        <v>296</v>
      </c>
      <c r="B22" s="148">
        <v>28600</v>
      </c>
      <c r="C22" s="148">
        <v>0</v>
      </c>
      <c r="D22" s="148">
        <v>28600</v>
      </c>
      <c r="E22" s="148">
        <f t="shared" si="0"/>
        <v>0</v>
      </c>
    </row>
    <row r="23" spans="1:5" ht="23.25">
      <c r="A23" s="150" t="s">
        <v>297</v>
      </c>
      <c r="B23" s="148">
        <v>114400</v>
      </c>
      <c r="C23" s="148">
        <v>800</v>
      </c>
      <c r="D23" s="148">
        <v>113600</v>
      </c>
      <c r="E23" s="148">
        <f t="shared" si="0"/>
        <v>1600</v>
      </c>
    </row>
    <row r="24" spans="1:5" ht="23.25">
      <c r="A24" s="150" t="s">
        <v>298</v>
      </c>
      <c r="B24" s="148">
        <v>68710</v>
      </c>
      <c r="C24" s="148">
        <v>0</v>
      </c>
      <c r="D24" s="148">
        <v>68710</v>
      </c>
      <c r="E24" s="148">
        <f t="shared" si="0"/>
        <v>0</v>
      </c>
    </row>
    <row r="25" spans="1:5" ht="23.25">
      <c r="A25" s="150" t="s">
        <v>299</v>
      </c>
      <c r="B25" s="148">
        <v>103776.46</v>
      </c>
      <c r="C25" s="148">
        <v>0</v>
      </c>
      <c r="D25" s="148">
        <v>27136</v>
      </c>
      <c r="E25" s="148">
        <f t="shared" si="0"/>
        <v>76640.46</v>
      </c>
    </row>
    <row r="26" spans="1:5" ht="23.25">
      <c r="A26" s="150" t="s">
        <v>300</v>
      </c>
      <c r="B26" s="148">
        <v>10129.04</v>
      </c>
      <c r="C26" s="148">
        <v>0</v>
      </c>
      <c r="D26" s="148">
        <v>6000</v>
      </c>
      <c r="E26" s="148">
        <f t="shared" si="0"/>
        <v>4129.040000000001</v>
      </c>
    </row>
    <row r="27" spans="1:5" ht="23.25">
      <c r="A27" s="150" t="s">
        <v>301</v>
      </c>
      <c r="B27" s="148">
        <v>7051</v>
      </c>
      <c r="C27" s="148">
        <v>0</v>
      </c>
      <c r="D27" s="148">
        <v>0</v>
      </c>
      <c r="E27" s="148">
        <f t="shared" si="0"/>
        <v>7051</v>
      </c>
    </row>
    <row r="28" spans="1:5" ht="23.25">
      <c r="A28" s="150" t="s">
        <v>302</v>
      </c>
      <c r="B28" s="148">
        <v>32640</v>
      </c>
      <c r="C28" s="148">
        <v>0</v>
      </c>
      <c r="D28" s="148">
        <v>0</v>
      </c>
      <c r="E28" s="148">
        <f t="shared" si="0"/>
        <v>32640</v>
      </c>
    </row>
    <row r="29" spans="1:5" ht="23.25">
      <c r="A29" s="150" t="s">
        <v>303</v>
      </c>
      <c r="B29" s="148">
        <v>33500</v>
      </c>
      <c r="C29" s="148">
        <v>0</v>
      </c>
      <c r="D29" s="148">
        <v>0</v>
      </c>
      <c r="E29" s="148">
        <f t="shared" si="0"/>
        <v>33500</v>
      </c>
    </row>
    <row r="30" spans="1:5" ht="23.25">
      <c r="A30" s="150" t="s">
        <v>304</v>
      </c>
      <c r="B30" s="148">
        <v>2780</v>
      </c>
      <c r="C30" s="148">
        <v>0</v>
      </c>
      <c r="D30" s="148">
        <v>0</v>
      </c>
      <c r="E30" s="148">
        <f t="shared" si="0"/>
        <v>2780</v>
      </c>
    </row>
    <row r="31" spans="1:5" ht="24" thickBot="1">
      <c r="A31" s="131"/>
      <c r="B31" s="18">
        <f>SUM(B6:B30)</f>
        <v>3087403.25</v>
      </c>
      <c r="C31" s="18">
        <f>SUM(C6:C30)</f>
        <v>3796941.53</v>
      </c>
      <c r="D31" s="18">
        <f>SUM(D6:D30)</f>
        <v>1028367.48</v>
      </c>
      <c r="E31" s="18">
        <f>SUM(E6:E30)</f>
        <v>5855977.300000001</v>
      </c>
    </row>
    <row r="32" spans="1:5" ht="24" customHeight="1" thickTop="1">
      <c r="A32" s="10" t="s">
        <v>65</v>
      </c>
      <c r="B32" s="10"/>
      <c r="C32" s="12"/>
      <c r="D32" s="12"/>
      <c r="E32" s="15"/>
    </row>
    <row r="33" spans="1:5" ht="24" customHeight="1">
      <c r="A33" s="55" t="s">
        <v>94</v>
      </c>
      <c r="B33" s="14"/>
      <c r="C33" s="12"/>
      <c r="D33" s="12"/>
      <c r="E33" s="71" t="s">
        <v>66</v>
      </c>
    </row>
    <row r="34" spans="1:5" ht="23.25">
      <c r="A34" s="12" t="s">
        <v>178</v>
      </c>
      <c r="B34" s="14"/>
      <c r="C34" s="12"/>
      <c r="D34" s="12"/>
      <c r="E34" s="74">
        <v>0</v>
      </c>
    </row>
    <row r="35" spans="1:5" ht="23.25">
      <c r="A35" s="12" t="s">
        <v>179</v>
      </c>
      <c r="B35" s="12"/>
      <c r="C35" s="12"/>
      <c r="D35" s="12"/>
      <c r="E35" s="15">
        <v>0</v>
      </c>
    </row>
    <row r="36" spans="1:5" ht="23.25">
      <c r="A36" s="12" t="s">
        <v>180</v>
      </c>
      <c r="B36" s="12"/>
      <c r="C36" s="12"/>
      <c r="D36" s="12"/>
      <c r="E36" s="15">
        <v>132800</v>
      </c>
    </row>
    <row r="37" spans="1:5" ht="24" thickBot="1">
      <c r="A37" s="12"/>
      <c r="B37" s="12"/>
      <c r="C37" s="12"/>
      <c r="D37" s="10" t="s">
        <v>31</v>
      </c>
      <c r="E37" s="72">
        <f>SUM(E34:E36)</f>
        <v>132800</v>
      </c>
    </row>
    <row r="38" spans="1:5" ht="24" thickTop="1">
      <c r="A38" s="12"/>
      <c r="B38" s="12"/>
      <c r="C38" s="12"/>
      <c r="D38" s="12"/>
      <c r="E38" s="12"/>
    </row>
    <row r="39" ht="23.25">
      <c r="E39" s="4"/>
    </row>
    <row r="40" ht="23.25">
      <c r="E40" s="4"/>
    </row>
    <row r="41" ht="23.25">
      <c r="E41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8" r:id="rId1"/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9">
      <selection activeCell="G25" sqref="G25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178" t="s">
        <v>208</v>
      </c>
      <c r="B1" s="178"/>
      <c r="C1" s="178"/>
      <c r="D1" s="178"/>
      <c r="E1" s="178"/>
    </row>
    <row r="2" spans="1:5" ht="23.25">
      <c r="A2" s="178" t="s">
        <v>57</v>
      </c>
      <c r="B2" s="178"/>
      <c r="C2" s="178"/>
      <c r="D2" s="178"/>
      <c r="E2" s="178"/>
    </row>
    <row r="3" spans="1:5" ht="23.25">
      <c r="A3" s="178" t="s">
        <v>310</v>
      </c>
      <c r="B3" s="178"/>
      <c r="C3" s="178"/>
      <c r="D3" s="178"/>
      <c r="E3" s="178"/>
    </row>
    <row r="4" spans="1:5" ht="21" customHeight="1">
      <c r="A4" s="9"/>
      <c r="B4" s="9"/>
      <c r="C4" s="9"/>
      <c r="D4" s="9"/>
      <c r="E4" s="9"/>
    </row>
    <row r="5" spans="1:7" ht="23.25">
      <c r="A5" s="130" t="s">
        <v>11</v>
      </c>
      <c r="B5" s="16" t="s">
        <v>71</v>
      </c>
      <c r="C5" s="11" t="s">
        <v>58</v>
      </c>
      <c r="D5" s="11" t="s">
        <v>59</v>
      </c>
      <c r="E5" s="16" t="s">
        <v>60</v>
      </c>
      <c r="F5" s="6"/>
      <c r="G5" s="4" t="s">
        <v>245</v>
      </c>
    </row>
    <row r="6" spans="1:5" ht="23.25">
      <c r="A6" s="147" t="s">
        <v>61</v>
      </c>
      <c r="B6" s="148">
        <v>45725.52</v>
      </c>
      <c r="C6" s="148">
        <f>15364.39+29060.44</f>
        <v>44424.83</v>
      </c>
      <c r="D6" s="148">
        <f>45725.52+15364.39</f>
        <v>61089.909999999996</v>
      </c>
      <c r="E6" s="148">
        <f>+B6+C6-D6</f>
        <v>29060.44000000001</v>
      </c>
    </row>
    <row r="7" spans="1:5" ht="23.25">
      <c r="A7" s="147" t="s">
        <v>63</v>
      </c>
      <c r="B7" s="148">
        <v>46443.55</v>
      </c>
      <c r="C7" s="148">
        <v>10.4</v>
      </c>
      <c r="D7" s="148"/>
      <c r="E7" s="148">
        <f aca="true" t="shared" si="0" ref="E7:E30">+B7+C7-D7</f>
        <v>46453.950000000004</v>
      </c>
    </row>
    <row r="8" spans="1:5" ht="23.25">
      <c r="A8" s="147" t="s">
        <v>92</v>
      </c>
      <c r="B8" s="148">
        <v>0</v>
      </c>
      <c r="C8" s="148">
        <v>3016805</v>
      </c>
      <c r="D8" s="148">
        <v>0</v>
      </c>
      <c r="E8" s="148">
        <f t="shared" si="0"/>
        <v>3016805</v>
      </c>
    </row>
    <row r="9" spans="1:5" ht="23.25">
      <c r="A9" s="147" t="s">
        <v>62</v>
      </c>
      <c r="B9" s="148">
        <v>1455784</v>
      </c>
      <c r="C9" s="149">
        <f>54814+11907</f>
        <v>66721</v>
      </c>
      <c r="D9" s="148">
        <f>57407+22011</f>
        <v>79418</v>
      </c>
      <c r="E9" s="148">
        <f t="shared" si="0"/>
        <v>1443087</v>
      </c>
    </row>
    <row r="10" spans="1:5" ht="23.25">
      <c r="A10" s="147" t="s">
        <v>93</v>
      </c>
      <c r="B10" s="148">
        <f>+'[1]หมายเหตุ'!$E$10</f>
        <v>10350</v>
      </c>
      <c r="C10" s="148">
        <v>0</v>
      </c>
      <c r="D10" s="148"/>
      <c r="E10" s="148">
        <f t="shared" si="0"/>
        <v>10350</v>
      </c>
    </row>
    <row r="11" spans="1:5" ht="23.25">
      <c r="A11" s="147" t="s">
        <v>177</v>
      </c>
      <c r="B11" s="148">
        <f>+'[1]หมายเหตุ'!$E$11</f>
        <v>360000</v>
      </c>
      <c r="C11" s="148">
        <v>100000</v>
      </c>
      <c r="D11" s="148"/>
      <c r="E11" s="148">
        <f t="shared" si="0"/>
        <v>460000</v>
      </c>
    </row>
    <row r="12" spans="1:5" ht="23.25">
      <c r="A12" s="147" t="s">
        <v>9</v>
      </c>
      <c r="B12" s="148">
        <v>5938</v>
      </c>
      <c r="C12" s="148"/>
      <c r="D12" s="148"/>
      <c r="E12" s="148">
        <f t="shared" si="0"/>
        <v>5938</v>
      </c>
    </row>
    <row r="13" spans="1:5" ht="23.25">
      <c r="A13" s="147" t="s">
        <v>64</v>
      </c>
      <c r="B13" s="148">
        <v>126940.72</v>
      </c>
      <c r="C13" s="148"/>
      <c r="D13" s="148"/>
      <c r="E13" s="148">
        <f t="shared" si="0"/>
        <v>126940.72</v>
      </c>
    </row>
    <row r="14" spans="1:5" ht="23.25">
      <c r="A14" s="147" t="s">
        <v>114</v>
      </c>
      <c r="B14" s="148">
        <v>0</v>
      </c>
      <c r="C14" s="148">
        <v>4000</v>
      </c>
      <c r="D14" s="148">
        <v>4000</v>
      </c>
      <c r="E14" s="148">
        <f t="shared" si="0"/>
        <v>0</v>
      </c>
    </row>
    <row r="15" spans="1:5" ht="23.25">
      <c r="A15" s="147" t="s">
        <v>144</v>
      </c>
      <c r="B15" s="148">
        <v>0</v>
      </c>
      <c r="C15" s="148"/>
      <c r="D15" s="148"/>
      <c r="E15" s="148">
        <f t="shared" si="0"/>
        <v>0</v>
      </c>
    </row>
    <row r="16" spans="1:5" ht="23.25">
      <c r="A16" s="147" t="s">
        <v>137</v>
      </c>
      <c r="B16" s="148">
        <f>+'[1]หมายเหตุ'!$E$16</f>
        <v>0</v>
      </c>
      <c r="C16" s="148">
        <v>4210</v>
      </c>
      <c r="D16" s="148">
        <v>4210</v>
      </c>
      <c r="E16" s="148">
        <f t="shared" si="0"/>
        <v>0</v>
      </c>
    </row>
    <row r="17" spans="1:5" ht="23.25">
      <c r="A17" s="147" t="s">
        <v>157</v>
      </c>
      <c r="B17" s="148">
        <v>409195.69</v>
      </c>
      <c r="C17" s="148">
        <v>0</v>
      </c>
      <c r="D17" s="148">
        <v>6110</v>
      </c>
      <c r="E17" s="148">
        <f t="shared" si="0"/>
        <v>403085.69</v>
      </c>
    </row>
    <row r="18" spans="1:5" ht="23.25">
      <c r="A18" s="147" t="s">
        <v>138</v>
      </c>
      <c r="B18" s="148">
        <v>0</v>
      </c>
      <c r="C18" s="148">
        <f>158383+155916</f>
        <v>314299</v>
      </c>
      <c r="D18" s="148">
        <v>158383</v>
      </c>
      <c r="E18" s="148">
        <f t="shared" si="0"/>
        <v>155916</v>
      </c>
    </row>
    <row r="19" spans="1:5" ht="23.25">
      <c r="A19" s="147" t="s">
        <v>70</v>
      </c>
      <c r="B19" s="148"/>
      <c r="C19" s="148">
        <f>75400+68000</f>
        <v>143400</v>
      </c>
      <c r="D19" s="148">
        <f>75400+68000</f>
        <v>143400</v>
      </c>
      <c r="E19" s="148">
        <f t="shared" si="0"/>
        <v>0</v>
      </c>
    </row>
    <row r="20" spans="1:5" ht="23.25">
      <c r="A20" s="147" t="s">
        <v>68</v>
      </c>
      <c r="B20" s="148"/>
      <c r="C20" s="148">
        <f>277400+260400</f>
        <v>537800</v>
      </c>
      <c r="D20" s="148">
        <f>277400+260400</f>
        <v>537800</v>
      </c>
      <c r="E20" s="148">
        <f t="shared" si="0"/>
        <v>0</v>
      </c>
    </row>
    <row r="21" spans="1:5" ht="23.25">
      <c r="A21" s="147" t="s">
        <v>69</v>
      </c>
      <c r="B21" s="148">
        <v>0</v>
      </c>
      <c r="C21" s="148">
        <f>254904+250053.09</f>
        <v>504957.08999999997</v>
      </c>
      <c r="D21" s="148">
        <f>254904+250053.09</f>
        <v>504957.08999999997</v>
      </c>
      <c r="E21" s="148">
        <f t="shared" si="0"/>
        <v>0</v>
      </c>
    </row>
    <row r="22" spans="1:5" ht="23.25">
      <c r="A22" s="150" t="s">
        <v>296</v>
      </c>
      <c r="B22" s="152">
        <v>28600</v>
      </c>
      <c r="C22" s="148">
        <v>0</v>
      </c>
      <c r="D22" s="148">
        <v>28600</v>
      </c>
      <c r="E22" s="148">
        <f t="shared" si="0"/>
        <v>0</v>
      </c>
    </row>
    <row r="23" spans="1:5" ht="23.25">
      <c r="A23" s="150" t="s">
        <v>297</v>
      </c>
      <c r="B23" s="152">
        <v>114400</v>
      </c>
      <c r="C23" s="148">
        <v>800</v>
      </c>
      <c r="D23" s="148">
        <v>113600</v>
      </c>
      <c r="E23" s="148">
        <f t="shared" si="0"/>
        <v>1600</v>
      </c>
    </row>
    <row r="24" spans="1:5" ht="23.25">
      <c r="A24" s="150" t="s">
        <v>298</v>
      </c>
      <c r="B24" s="152">
        <v>68710</v>
      </c>
      <c r="C24" s="148">
        <v>0</v>
      </c>
      <c r="D24" s="148">
        <v>68710</v>
      </c>
      <c r="E24" s="148">
        <f t="shared" si="0"/>
        <v>0</v>
      </c>
    </row>
    <row r="25" spans="1:5" ht="23.25">
      <c r="A25" s="150" t="s">
        <v>299</v>
      </c>
      <c r="B25" s="152">
        <v>103776.46</v>
      </c>
      <c r="C25" s="148">
        <v>0</v>
      </c>
      <c r="D25" s="148">
        <v>27136</v>
      </c>
      <c r="E25" s="148">
        <f t="shared" si="0"/>
        <v>76640.46</v>
      </c>
    </row>
    <row r="26" spans="1:5" ht="23.25">
      <c r="A26" s="150" t="s">
        <v>300</v>
      </c>
      <c r="B26" s="152">
        <v>10129.04</v>
      </c>
      <c r="C26" s="148">
        <v>0</v>
      </c>
      <c r="D26" s="148">
        <v>6000</v>
      </c>
      <c r="E26" s="148">
        <f t="shared" si="0"/>
        <v>4129.040000000001</v>
      </c>
    </row>
    <row r="27" spans="1:5" ht="23.25">
      <c r="A27" s="150" t="s">
        <v>301</v>
      </c>
      <c r="B27" s="152">
        <v>7051</v>
      </c>
      <c r="C27" s="148">
        <v>0</v>
      </c>
      <c r="D27" s="148">
        <v>0</v>
      </c>
      <c r="E27" s="148">
        <f t="shared" si="0"/>
        <v>7051</v>
      </c>
    </row>
    <row r="28" spans="1:5" ht="23.25">
      <c r="A28" s="150" t="s">
        <v>302</v>
      </c>
      <c r="B28" s="152">
        <v>32640</v>
      </c>
      <c r="C28" s="148">
        <v>0</v>
      </c>
      <c r="D28" s="148">
        <v>0</v>
      </c>
      <c r="E28" s="148">
        <f t="shared" si="0"/>
        <v>32640</v>
      </c>
    </row>
    <row r="29" spans="1:5" ht="23.25">
      <c r="A29" s="150" t="s">
        <v>303</v>
      </c>
      <c r="B29" s="152">
        <v>33500</v>
      </c>
      <c r="C29" s="148">
        <v>0</v>
      </c>
      <c r="D29" s="148">
        <v>0</v>
      </c>
      <c r="E29" s="148">
        <f t="shared" si="0"/>
        <v>33500</v>
      </c>
    </row>
    <row r="30" spans="1:5" ht="23.25">
      <c r="A30" s="150" t="s">
        <v>304</v>
      </c>
      <c r="B30" s="152">
        <v>2780</v>
      </c>
      <c r="C30" s="151">
        <v>0</v>
      </c>
      <c r="D30" s="151">
        <v>0</v>
      </c>
      <c r="E30" s="148">
        <f t="shared" si="0"/>
        <v>2780</v>
      </c>
    </row>
    <row r="31" spans="1:5" ht="21" customHeight="1" thickBot="1">
      <c r="A31" s="12"/>
      <c r="B31" s="153">
        <f>SUM(B6:B30)</f>
        <v>2861963.98</v>
      </c>
      <c r="C31" s="18">
        <f>SUM(C6:C30)</f>
        <v>4737427.32</v>
      </c>
      <c r="D31" s="18">
        <f>SUM(D6:D30)</f>
        <v>1743414</v>
      </c>
      <c r="E31" s="18">
        <f>SUM(E6:E30)</f>
        <v>5855977.300000001</v>
      </c>
    </row>
    <row r="32" spans="1:5" ht="24" thickTop="1">
      <c r="A32" s="10" t="s">
        <v>65</v>
      </c>
      <c r="B32" s="10"/>
      <c r="C32" s="12"/>
      <c r="D32" s="12"/>
      <c r="E32" s="15"/>
    </row>
    <row r="33" spans="1:5" ht="24" customHeight="1">
      <c r="A33" s="55" t="s">
        <v>94</v>
      </c>
      <c r="B33" s="14"/>
      <c r="C33" s="12"/>
      <c r="D33" s="12"/>
      <c r="E33" s="71" t="s">
        <v>66</v>
      </c>
    </row>
    <row r="34" spans="1:5" ht="24" customHeight="1">
      <c r="A34" s="12" t="s">
        <v>178</v>
      </c>
      <c r="B34" s="14"/>
      <c r="C34" s="12"/>
      <c r="D34" s="12"/>
      <c r="E34" s="74"/>
    </row>
    <row r="35" spans="1:5" ht="23.25">
      <c r="A35" s="12" t="s">
        <v>179</v>
      </c>
      <c r="B35" s="12"/>
      <c r="C35" s="12"/>
      <c r="D35" s="12"/>
      <c r="E35" s="15">
        <v>34000</v>
      </c>
    </row>
    <row r="36" spans="1:5" ht="23.25">
      <c r="A36" s="12" t="s">
        <v>180</v>
      </c>
      <c r="B36" s="12"/>
      <c r="C36" s="12"/>
      <c r="D36" s="12"/>
      <c r="E36" s="15">
        <v>132800</v>
      </c>
    </row>
    <row r="37" spans="1:5" ht="24" thickBot="1">
      <c r="A37" s="12"/>
      <c r="B37" s="12"/>
      <c r="C37" s="12"/>
      <c r="D37" s="10" t="s">
        <v>31</v>
      </c>
      <c r="E37" s="72">
        <f>SUM(E34:E36)</f>
        <v>166800</v>
      </c>
    </row>
    <row r="38" spans="1:5" ht="21.75" customHeight="1" thickTop="1">
      <c r="A38" s="12"/>
      <c r="B38" s="12"/>
      <c r="C38" s="12"/>
      <c r="D38" s="12"/>
      <c r="E38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8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148" zoomScaleSheetLayoutView="148" zoomScalePageLayoutView="0" workbookViewId="0" topLeftCell="C34">
      <selection activeCell="I79" sqref="I79"/>
    </sheetView>
  </sheetViews>
  <sheetFormatPr defaultColWidth="9.140625" defaultRowHeight="21.75"/>
  <cols>
    <col min="1" max="1" width="14.57421875" style="19" customWidth="1"/>
    <col min="2" max="2" width="13.00390625" style="19" customWidth="1"/>
    <col min="3" max="3" width="9.7109375" style="19" customWidth="1"/>
    <col min="4" max="4" width="14.00390625" style="19" customWidth="1"/>
    <col min="5" max="5" width="47.574218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3.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78" t="s">
        <v>274</v>
      </c>
      <c r="B1" s="178"/>
      <c r="C1" s="178"/>
      <c r="D1" s="178"/>
      <c r="E1" s="178"/>
      <c r="F1" s="178"/>
      <c r="G1" s="178"/>
    </row>
    <row r="2" spans="1:8" ht="21">
      <c r="A2" s="178" t="s">
        <v>237</v>
      </c>
      <c r="B2" s="178"/>
      <c r="C2" s="178"/>
      <c r="D2" s="178"/>
      <c r="E2" s="178"/>
      <c r="F2" s="178"/>
      <c r="G2" s="178"/>
      <c r="H2" s="178"/>
    </row>
    <row r="3" spans="1:9" ht="21.75" thickBot="1">
      <c r="A3" s="184" t="s">
        <v>307</v>
      </c>
      <c r="B3" s="184"/>
      <c r="C3" s="184"/>
      <c r="D3" s="184"/>
      <c r="E3" s="184"/>
      <c r="F3" s="184"/>
      <c r="G3" s="184"/>
      <c r="H3" s="17"/>
      <c r="I3" s="100" t="s">
        <v>276</v>
      </c>
    </row>
    <row r="4" spans="1:8" ht="20.25" thickBot="1" thickTop="1">
      <c r="A4" s="180" t="s">
        <v>0</v>
      </c>
      <c r="B4" s="181"/>
      <c r="C4" s="181"/>
      <c r="D4" s="181"/>
      <c r="E4" s="77"/>
      <c r="F4" s="81"/>
      <c r="G4" s="104" t="s">
        <v>66</v>
      </c>
      <c r="H4" s="135"/>
    </row>
    <row r="5" spans="1:9" ht="18.75">
      <c r="A5" s="78"/>
      <c r="B5" s="98" t="s">
        <v>238</v>
      </c>
      <c r="C5" s="78"/>
      <c r="D5" s="78" t="s">
        <v>275</v>
      </c>
      <c r="E5" s="79" t="s">
        <v>4</v>
      </c>
      <c r="F5" s="80" t="s">
        <v>5</v>
      </c>
      <c r="G5" s="105" t="s">
        <v>7</v>
      </c>
      <c r="H5" s="136">
        <v>1</v>
      </c>
      <c r="I5" s="19" t="s">
        <v>277</v>
      </c>
    </row>
    <row r="6" spans="1:9" ht="18.75">
      <c r="A6" s="80" t="s">
        <v>1</v>
      </c>
      <c r="B6" s="80" t="s">
        <v>239</v>
      </c>
      <c r="C6" s="80" t="s">
        <v>31</v>
      </c>
      <c r="D6" s="80" t="s">
        <v>3</v>
      </c>
      <c r="E6" s="77"/>
      <c r="F6" s="80" t="s">
        <v>6</v>
      </c>
      <c r="G6" s="105" t="s">
        <v>3</v>
      </c>
      <c r="H6" s="136">
        <v>2</v>
      </c>
      <c r="I6" s="19" t="s">
        <v>279</v>
      </c>
    </row>
    <row r="7" spans="1:9" ht="19.5" thickBot="1">
      <c r="A7" s="82" t="s">
        <v>241</v>
      </c>
      <c r="B7" s="82" t="s">
        <v>240</v>
      </c>
      <c r="C7" s="82" t="s">
        <v>241</v>
      </c>
      <c r="D7" s="82" t="s">
        <v>241</v>
      </c>
      <c r="E7" s="83"/>
      <c r="F7" s="82"/>
      <c r="G7" s="106" t="s">
        <v>2</v>
      </c>
      <c r="H7" s="136">
        <v>3</v>
      </c>
      <c r="I7" s="19" t="s">
        <v>278</v>
      </c>
    </row>
    <row r="8" spans="1:9" ht="19.5" thickTop="1">
      <c r="A8" s="77"/>
      <c r="B8" s="77"/>
      <c r="C8" s="77"/>
      <c r="D8" s="77"/>
      <c r="E8" s="89" t="s">
        <v>8</v>
      </c>
      <c r="F8" s="89"/>
      <c r="G8" s="132">
        <v>66892642.16</v>
      </c>
      <c r="H8" s="101">
        <v>4</v>
      </c>
      <c r="I8" s="19" t="s">
        <v>280</v>
      </c>
    </row>
    <row r="9" spans="1:9" ht="18.75">
      <c r="A9" s="77"/>
      <c r="B9" s="77"/>
      <c r="C9" s="77"/>
      <c r="D9" s="77"/>
      <c r="E9" s="137" t="s">
        <v>306</v>
      </c>
      <c r="F9" s="95"/>
      <c r="G9" s="95"/>
      <c r="H9" s="101">
        <v>5</v>
      </c>
      <c r="I9" s="102" t="s">
        <v>281</v>
      </c>
    </row>
    <row r="10" spans="1:8" ht="18.75">
      <c r="A10" s="110">
        <v>12200000</v>
      </c>
      <c r="B10" s="77"/>
      <c r="C10" s="77"/>
      <c r="D10" s="125">
        <f>71652.6+48905</f>
        <v>120557.6</v>
      </c>
      <c r="E10" s="95" t="s">
        <v>95</v>
      </c>
      <c r="F10" s="85" t="s">
        <v>32</v>
      </c>
      <c r="G10" s="133">
        <v>48905</v>
      </c>
      <c r="H10" s="101"/>
    </row>
    <row r="11" spans="1:8" ht="18.75">
      <c r="A11" s="110">
        <v>4140000</v>
      </c>
      <c r="B11" s="77"/>
      <c r="C11" s="77"/>
      <c r="D11" s="125">
        <f>124174+350286</f>
        <v>474460</v>
      </c>
      <c r="E11" s="95" t="s">
        <v>96</v>
      </c>
      <c r="F11" s="85" t="s">
        <v>33</v>
      </c>
      <c r="G11" s="133">
        <v>350286</v>
      </c>
      <c r="H11" s="101"/>
    </row>
    <row r="12" spans="1:7" ht="18.75">
      <c r="A12" s="110">
        <v>1200000</v>
      </c>
      <c r="B12" s="77"/>
      <c r="C12" s="77"/>
      <c r="D12" s="125">
        <f>17594.18+29010.33</f>
        <v>46604.51</v>
      </c>
      <c r="E12" s="95" t="s">
        <v>97</v>
      </c>
      <c r="F12" s="85" t="s">
        <v>34</v>
      </c>
      <c r="G12" s="133">
        <v>29010.33</v>
      </c>
    </row>
    <row r="13" spans="1:7" ht="18.75">
      <c r="A13" s="110">
        <v>1110000</v>
      </c>
      <c r="B13" s="77"/>
      <c r="C13" s="77"/>
      <c r="D13" s="125">
        <f>42236.05+338450</f>
        <v>380686.05</v>
      </c>
      <c r="E13" s="95" t="s">
        <v>98</v>
      </c>
      <c r="F13" s="85" t="s">
        <v>35</v>
      </c>
      <c r="G13" s="133">
        <v>338450</v>
      </c>
    </row>
    <row r="14" spans="1:7" ht="18.75">
      <c r="A14" s="110">
        <v>151350000</v>
      </c>
      <c r="B14" s="77"/>
      <c r="C14" s="77"/>
      <c r="D14" s="125">
        <f>15083556.63+10091715.22</f>
        <v>25175271.85</v>
      </c>
      <c r="E14" s="95" t="s">
        <v>99</v>
      </c>
      <c r="F14" s="85" t="s">
        <v>36</v>
      </c>
      <c r="G14" s="133">
        <v>10091715.22</v>
      </c>
    </row>
    <row r="15" spans="1:9" ht="18.75">
      <c r="A15" s="110">
        <v>65000000</v>
      </c>
      <c r="B15" s="77"/>
      <c r="C15" s="77"/>
      <c r="D15" s="125">
        <f>20489108+16000</f>
        <v>20505108</v>
      </c>
      <c r="E15" s="95" t="s">
        <v>106</v>
      </c>
      <c r="F15" s="85" t="s">
        <v>43</v>
      </c>
      <c r="G15" s="133">
        <v>16000</v>
      </c>
      <c r="I15" s="127">
        <f>+G15+G14+G13+G12+G11+G10</f>
        <v>10874366.55</v>
      </c>
    </row>
    <row r="16" spans="1:7" ht="18.75">
      <c r="A16" s="110"/>
      <c r="B16" s="77"/>
      <c r="C16" s="77"/>
      <c r="D16" s="125">
        <f aca="true" t="shared" si="0" ref="D16:D35">+G16</f>
        <v>0</v>
      </c>
      <c r="E16" s="95" t="s">
        <v>49</v>
      </c>
      <c r="F16" s="85" t="s">
        <v>184</v>
      </c>
      <c r="G16" s="133">
        <f>Sheet1!M9</f>
        <v>0</v>
      </c>
    </row>
    <row r="17" spans="1:9" ht="18.75">
      <c r="A17" s="110"/>
      <c r="B17" s="77"/>
      <c r="C17" s="77"/>
      <c r="D17" s="125">
        <f t="shared" si="0"/>
        <v>0</v>
      </c>
      <c r="E17" s="95" t="s">
        <v>100</v>
      </c>
      <c r="F17" s="85" t="s">
        <v>185</v>
      </c>
      <c r="G17" s="133">
        <f>Sheet1!M10</f>
        <v>0</v>
      </c>
      <c r="I17" s="127">
        <f>+D15+D14+D13+D12+D11+D10</f>
        <v>46702688.01</v>
      </c>
    </row>
    <row r="18" spans="1:7" ht="18.75">
      <c r="A18" s="110"/>
      <c r="B18" s="77"/>
      <c r="C18" s="77"/>
      <c r="D18" s="125">
        <f t="shared" si="0"/>
        <v>32700</v>
      </c>
      <c r="E18" s="95" t="s">
        <v>101</v>
      </c>
      <c r="F18" s="85" t="s">
        <v>186</v>
      </c>
      <c r="G18" s="133">
        <v>32700</v>
      </c>
    </row>
    <row r="19" spans="1:7" ht="18.75">
      <c r="A19" s="110"/>
      <c r="B19" s="77"/>
      <c r="C19" s="77"/>
      <c r="D19" s="125">
        <f>95600+1678594</f>
        <v>1774194</v>
      </c>
      <c r="E19" s="95" t="s">
        <v>102</v>
      </c>
      <c r="F19" s="85" t="s">
        <v>187</v>
      </c>
      <c r="G19" s="133">
        <v>1678594</v>
      </c>
    </row>
    <row r="20" spans="1:7" ht="18.75">
      <c r="A20" s="110"/>
      <c r="B20" s="77"/>
      <c r="C20" s="77"/>
      <c r="D20" s="125">
        <f t="shared" si="0"/>
        <v>0</v>
      </c>
      <c r="E20" s="95" t="s">
        <v>103</v>
      </c>
      <c r="F20" s="85" t="s">
        <v>188</v>
      </c>
      <c r="G20" s="133">
        <f>Sheet1!M13</f>
        <v>0</v>
      </c>
    </row>
    <row r="21" spans="1:7" ht="18.75">
      <c r="A21" s="110"/>
      <c r="B21" s="77"/>
      <c r="C21" s="77"/>
      <c r="D21" s="125">
        <f t="shared" si="0"/>
        <v>0</v>
      </c>
      <c r="E21" s="95" t="s">
        <v>189</v>
      </c>
      <c r="F21" s="85" t="s">
        <v>190</v>
      </c>
      <c r="G21" s="133">
        <f>Sheet1!M14</f>
        <v>0</v>
      </c>
    </row>
    <row r="22" spans="1:7" ht="18.75">
      <c r="A22" s="110"/>
      <c r="B22" s="77"/>
      <c r="C22" s="77"/>
      <c r="D22" s="125">
        <v>800</v>
      </c>
      <c r="E22" s="95" t="s">
        <v>295</v>
      </c>
      <c r="F22" s="85" t="s">
        <v>173</v>
      </c>
      <c r="G22" s="133">
        <v>0</v>
      </c>
    </row>
    <row r="23" spans="1:9" ht="18.75">
      <c r="A23" s="110"/>
      <c r="B23" s="77"/>
      <c r="C23" s="77"/>
      <c r="D23" s="125">
        <f>940485.79+3796141.53</f>
        <v>4736627.32</v>
      </c>
      <c r="E23" s="95" t="s">
        <v>11</v>
      </c>
      <c r="F23" s="85" t="s">
        <v>191</v>
      </c>
      <c r="G23" s="133">
        <f>+หมายเหตุ!C31</f>
        <v>3796941.53</v>
      </c>
      <c r="I23" s="127" t="e">
        <f>+G23+#REF!+G22+G21+G20+G19+G18</f>
        <v>#REF!</v>
      </c>
    </row>
    <row r="24" spans="1:7" ht="18.75">
      <c r="A24" s="110"/>
      <c r="B24" s="77"/>
      <c r="C24" s="77"/>
      <c r="D24" s="125">
        <v>68202.38</v>
      </c>
      <c r="E24" s="68" t="s">
        <v>12</v>
      </c>
      <c r="F24" s="85" t="s">
        <v>104</v>
      </c>
      <c r="G24" s="133">
        <v>0</v>
      </c>
    </row>
    <row r="25" spans="1:7" ht="18.75">
      <c r="A25" s="110"/>
      <c r="B25" s="77"/>
      <c r="C25" s="77"/>
      <c r="D25" s="125">
        <f t="shared" si="0"/>
        <v>0</v>
      </c>
      <c r="E25" s="68" t="s">
        <v>140</v>
      </c>
      <c r="F25" s="85" t="s">
        <v>56</v>
      </c>
      <c r="G25" s="133">
        <f>Sheet1!M18</f>
        <v>0</v>
      </c>
    </row>
    <row r="26" spans="1:7" ht="18.75">
      <c r="A26" s="110"/>
      <c r="B26" s="77"/>
      <c r="C26" s="77"/>
      <c r="D26" s="125">
        <f t="shared" si="0"/>
        <v>0</v>
      </c>
      <c r="E26" s="68" t="s">
        <v>120</v>
      </c>
      <c r="F26" s="85" t="s">
        <v>192</v>
      </c>
      <c r="G26" s="133">
        <f>Sheet1!M16</f>
        <v>0</v>
      </c>
    </row>
    <row r="27" spans="1:10" ht="18.75">
      <c r="A27" s="110"/>
      <c r="B27" s="77"/>
      <c r="C27" s="77"/>
      <c r="D27" s="125">
        <f t="shared" si="0"/>
        <v>0</v>
      </c>
      <c r="E27" s="68" t="s">
        <v>91</v>
      </c>
      <c r="F27" s="85" t="s">
        <v>193</v>
      </c>
      <c r="G27" s="133">
        <f>Sheet1!M17</f>
        <v>0</v>
      </c>
      <c r="J27" s="19" t="s">
        <v>236</v>
      </c>
    </row>
    <row r="28" spans="1:7" ht="18.75">
      <c r="A28" s="110"/>
      <c r="B28" s="77"/>
      <c r="C28" s="77"/>
      <c r="D28" s="125">
        <f t="shared" si="0"/>
        <v>0</v>
      </c>
      <c r="E28" s="68" t="s">
        <v>21</v>
      </c>
      <c r="F28" s="85" t="s">
        <v>194</v>
      </c>
      <c r="G28" s="133">
        <v>0</v>
      </c>
    </row>
    <row r="29" spans="1:7" ht="18.75">
      <c r="A29" s="110"/>
      <c r="B29" s="77"/>
      <c r="C29" s="77"/>
      <c r="D29" s="125">
        <f t="shared" si="0"/>
        <v>0</v>
      </c>
      <c r="E29" s="68" t="s">
        <v>195</v>
      </c>
      <c r="F29" s="85" t="s">
        <v>196</v>
      </c>
      <c r="G29" s="133">
        <f>Sheet1!M19</f>
        <v>0</v>
      </c>
    </row>
    <row r="30" spans="1:7" ht="18.75">
      <c r="A30" s="110"/>
      <c r="B30" s="77"/>
      <c r="C30" s="77"/>
      <c r="D30" s="125">
        <f>63300+1500</f>
        <v>64800</v>
      </c>
      <c r="E30" s="68" t="s">
        <v>14</v>
      </c>
      <c r="F30" s="86" t="s">
        <v>197</v>
      </c>
      <c r="G30" s="133">
        <v>1500</v>
      </c>
    </row>
    <row r="31" spans="1:7" ht="18.75">
      <c r="A31" s="110"/>
      <c r="B31" s="77"/>
      <c r="C31" s="77"/>
      <c r="D31" s="125">
        <f t="shared" si="0"/>
        <v>10680</v>
      </c>
      <c r="E31" s="68" t="s">
        <v>136</v>
      </c>
      <c r="F31" s="85" t="s">
        <v>198</v>
      </c>
      <c r="G31" s="133">
        <v>10680</v>
      </c>
    </row>
    <row r="32" spans="1:7" ht="18.75">
      <c r="A32" s="110"/>
      <c r="B32" s="77"/>
      <c r="C32" s="77"/>
      <c r="D32" s="125">
        <f t="shared" si="0"/>
        <v>0</v>
      </c>
      <c r="E32" s="68" t="s">
        <v>183</v>
      </c>
      <c r="F32" s="85" t="s">
        <v>198</v>
      </c>
      <c r="G32" s="133">
        <f>Sheet1!M23</f>
        <v>0</v>
      </c>
    </row>
    <row r="33" spans="1:7" ht="18.75">
      <c r="A33" s="110"/>
      <c r="B33" s="77"/>
      <c r="C33" s="77"/>
      <c r="D33" s="125">
        <f t="shared" si="0"/>
        <v>0</v>
      </c>
      <c r="E33" s="68" t="s">
        <v>15</v>
      </c>
      <c r="F33" s="85" t="s">
        <v>37</v>
      </c>
      <c r="G33" s="133">
        <f>Sheet1!M24</f>
        <v>0</v>
      </c>
    </row>
    <row r="34" spans="1:7" ht="18.75">
      <c r="A34" s="110"/>
      <c r="B34" s="77"/>
      <c r="C34" s="77"/>
      <c r="D34" s="125">
        <f t="shared" si="0"/>
        <v>0</v>
      </c>
      <c r="E34" s="68" t="s">
        <v>16</v>
      </c>
      <c r="F34" s="85" t="s">
        <v>38</v>
      </c>
      <c r="G34" s="133">
        <f>Sheet1!M25</f>
        <v>0</v>
      </c>
    </row>
    <row r="35" spans="1:7" ht="18.75">
      <c r="A35" s="110"/>
      <c r="B35" s="77"/>
      <c r="C35" s="77"/>
      <c r="D35" s="125">
        <f t="shared" si="0"/>
        <v>20</v>
      </c>
      <c r="E35" s="68" t="s">
        <v>18</v>
      </c>
      <c r="F35" s="87" t="s">
        <v>40</v>
      </c>
      <c r="G35" s="133">
        <v>20</v>
      </c>
    </row>
    <row r="36" spans="1:7" ht="18.75">
      <c r="A36" s="77"/>
      <c r="B36" s="77"/>
      <c r="C36" s="77"/>
      <c r="D36" s="77"/>
      <c r="E36" s="68"/>
      <c r="F36" s="85"/>
      <c r="G36" s="134"/>
    </row>
    <row r="37" spans="1:7" ht="18.75">
      <c r="A37" s="77"/>
      <c r="B37" s="77"/>
      <c r="C37" s="77"/>
      <c r="D37" s="77"/>
      <c r="E37" s="68"/>
      <c r="F37" s="85"/>
      <c r="G37" s="134"/>
    </row>
    <row r="38" spans="1:7" ht="19.5" thickBot="1">
      <c r="A38" s="77"/>
      <c r="B38" s="77"/>
      <c r="C38" s="77"/>
      <c r="D38" s="77"/>
      <c r="E38" s="68"/>
      <c r="F38" s="85"/>
      <c r="G38" s="134"/>
    </row>
    <row r="39" spans="1:7" ht="19.5" thickBot="1">
      <c r="A39" s="111">
        <f>SUM(A10:A16)</f>
        <v>235000000</v>
      </c>
      <c r="B39" s="88"/>
      <c r="C39" s="88"/>
      <c r="D39" s="126">
        <f>SUM(D10:D37)</f>
        <v>53390711.71000001</v>
      </c>
      <c r="E39" s="138" t="s">
        <v>25</v>
      </c>
      <c r="F39" s="139"/>
      <c r="G39" s="111">
        <f>SUM(G10:G38)</f>
        <v>16394802.08</v>
      </c>
    </row>
    <row r="40" spans="1:7" ht="24.75" customHeight="1" thickBot="1" thickTop="1">
      <c r="A40" s="179" t="s">
        <v>242</v>
      </c>
      <c r="B40" s="179"/>
      <c r="C40" s="179"/>
      <c r="D40" s="179"/>
      <c r="E40" s="179"/>
      <c r="F40" s="179"/>
      <c r="G40" s="179"/>
    </row>
    <row r="41" spans="1:7" ht="19.5" thickBot="1">
      <c r="A41" s="182" t="s">
        <v>0</v>
      </c>
      <c r="B41" s="183"/>
      <c r="C41" s="183"/>
      <c r="D41" s="183"/>
      <c r="E41" s="84"/>
      <c r="F41" s="84"/>
      <c r="G41" s="97" t="s">
        <v>66</v>
      </c>
    </row>
    <row r="42" spans="1:7" ht="18.75">
      <c r="A42" s="78"/>
      <c r="B42" s="98" t="s">
        <v>238</v>
      </c>
      <c r="C42" s="78"/>
      <c r="D42" s="78"/>
      <c r="E42" s="79" t="s">
        <v>4</v>
      </c>
      <c r="F42" s="80" t="s">
        <v>5</v>
      </c>
      <c r="G42" s="98" t="s">
        <v>7</v>
      </c>
    </row>
    <row r="43" spans="1:7" ht="18.75">
      <c r="A43" s="80" t="s">
        <v>1</v>
      </c>
      <c r="B43" s="80" t="s">
        <v>239</v>
      </c>
      <c r="C43" s="80" t="s">
        <v>31</v>
      </c>
      <c r="D43" s="80" t="s">
        <v>3</v>
      </c>
      <c r="E43" s="77"/>
      <c r="F43" s="80" t="s">
        <v>6</v>
      </c>
      <c r="G43" s="80" t="s">
        <v>3</v>
      </c>
    </row>
    <row r="44" spans="1:7" ht="19.5" thickBot="1">
      <c r="A44" s="99" t="s">
        <v>241</v>
      </c>
      <c r="B44" s="99" t="s">
        <v>240</v>
      </c>
      <c r="C44" s="99" t="s">
        <v>241</v>
      </c>
      <c r="D44" s="99" t="s">
        <v>241</v>
      </c>
      <c r="E44" s="83"/>
      <c r="F44" s="80"/>
      <c r="G44" s="103" t="s">
        <v>2</v>
      </c>
    </row>
    <row r="45" spans="1:7" ht="19.5" thickTop="1">
      <c r="A45" s="76"/>
      <c r="B45" s="76"/>
      <c r="C45" s="76"/>
      <c r="D45" s="76"/>
      <c r="E45" s="140" t="s">
        <v>13</v>
      </c>
      <c r="F45" s="141"/>
      <c r="G45" s="89"/>
    </row>
    <row r="46" spans="1:9" ht="18.75">
      <c r="A46" s="110">
        <v>41549770</v>
      </c>
      <c r="B46" s="77"/>
      <c r="C46" s="77"/>
      <c r="D46" s="143">
        <f>2576248.4+6275650.6</f>
        <v>8851899</v>
      </c>
      <c r="E46" s="142" t="s">
        <v>14</v>
      </c>
      <c r="F46" s="86" t="s">
        <v>197</v>
      </c>
      <c r="G46" s="143">
        <v>6275650.6</v>
      </c>
      <c r="I46" s="38"/>
    </row>
    <row r="47" spans="1:9" ht="18.75">
      <c r="A47" s="110">
        <v>4426920</v>
      </c>
      <c r="B47" s="77"/>
      <c r="C47" s="77"/>
      <c r="D47" s="143">
        <f>170970+170970</f>
        <v>341940</v>
      </c>
      <c r="E47" s="142" t="s">
        <v>135</v>
      </c>
      <c r="F47" s="86" t="s">
        <v>200</v>
      </c>
      <c r="G47" s="143">
        <v>170970</v>
      </c>
      <c r="I47" s="38"/>
    </row>
    <row r="48" spans="1:9" ht="18.75">
      <c r="A48" s="110">
        <v>29869100</v>
      </c>
      <c r="B48" s="77"/>
      <c r="C48" s="77"/>
      <c r="D48" s="143">
        <f>2122521.29+2077498.3</f>
        <v>4200019.59</v>
      </c>
      <c r="E48" s="142" t="s">
        <v>181</v>
      </c>
      <c r="F48" s="86" t="s">
        <v>198</v>
      </c>
      <c r="G48" s="143">
        <v>2077498.3</v>
      </c>
      <c r="I48" s="38"/>
    </row>
    <row r="49" spans="1:9" ht="18.75">
      <c r="A49" s="110">
        <f>424100+463100+163000+5800</f>
        <v>1056000</v>
      </c>
      <c r="B49" s="77"/>
      <c r="C49" s="77"/>
      <c r="D49" s="143">
        <f>83680+83680</f>
        <v>167360</v>
      </c>
      <c r="E49" s="142" t="s">
        <v>182</v>
      </c>
      <c r="F49" s="86" t="s">
        <v>198</v>
      </c>
      <c r="G49" s="143">
        <v>83680</v>
      </c>
      <c r="I49" s="38"/>
    </row>
    <row r="50" spans="1:9" ht="18.75">
      <c r="A50" s="110">
        <v>39830400</v>
      </c>
      <c r="B50" s="77"/>
      <c r="C50" s="77"/>
      <c r="D50" s="143">
        <f>3183022.02+3133720</f>
        <v>6316742.02</v>
      </c>
      <c r="E50" s="142" t="s">
        <v>183</v>
      </c>
      <c r="F50" s="86" t="s">
        <v>198</v>
      </c>
      <c r="G50" s="143">
        <v>3133720</v>
      </c>
      <c r="I50" s="38"/>
    </row>
    <row r="51" spans="1:9" ht="18.75">
      <c r="A51" s="110">
        <v>6504500</v>
      </c>
      <c r="B51" s="77"/>
      <c r="C51" s="77"/>
      <c r="D51" s="143">
        <f>136440+197743.88</f>
        <v>334183.88</v>
      </c>
      <c r="E51" s="142" t="s">
        <v>15</v>
      </c>
      <c r="F51" s="86" t="s">
        <v>37</v>
      </c>
      <c r="G51" s="143">
        <v>197743.88</v>
      </c>
      <c r="I51" s="38"/>
    </row>
    <row r="52" spans="1:9" ht="18.75">
      <c r="A52" s="110">
        <v>34672100</v>
      </c>
      <c r="B52" s="77"/>
      <c r="C52" s="77"/>
      <c r="D52" s="143">
        <f>36466+1096057.42</f>
        <v>1132523.42</v>
      </c>
      <c r="E52" s="142" t="s">
        <v>16</v>
      </c>
      <c r="F52" s="87" t="s">
        <v>38</v>
      </c>
      <c r="G52" s="143">
        <v>1096057.42</v>
      </c>
      <c r="I52" s="38"/>
    </row>
    <row r="53" spans="1:9" ht="18.75">
      <c r="A53" s="110">
        <v>11432110</v>
      </c>
      <c r="B53" s="77"/>
      <c r="C53" s="77"/>
      <c r="D53" s="143">
        <f>88511.97+528463.35</f>
        <v>616975.32</v>
      </c>
      <c r="E53" s="142" t="s">
        <v>17</v>
      </c>
      <c r="F53" s="87" t="s">
        <v>39</v>
      </c>
      <c r="G53" s="143">
        <v>528463.35</v>
      </c>
      <c r="I53" s="38"/>
    </row>
    <row r="54" spans="1:9" ht="18.75">
      <c r="A54" s="110">
        <v>2475000</v>
      </c>
      <c r="B54" s="77"/>
      <c r="C54" s="77"/>
      <c r="D54" s="143">
        <f>165636.2+144089.59</f>
        <v>309725.79000000004</v>
      </c>
      <c r="E54" s="142" t="s">
        <v>18</v>
      </c>
      <c r="F54" s="87" t="s">
        <v>40</v>
      </c>
      <c r="G54" s="143">
        <v>144089.59</v>
      </c>
      <c r="I54" s="38"/>
    </row>
    <row r="55" spans="1:9" ht="18.75">
      <c r="A55" s="110">
        <v>21487700</v>
      </c>
      <c r="B55" s="77"/>
      <c r="C55" s="77"/>
      <c r="D55" s="110">
        <v>40453.8</v>
      </c>
      <c r="E55" s="142" t="s">
        <v>19</v>
      </c>
      <c r="F55" s="87" t="s">
        <v>41</v>
      </c>
      <c r="G55" s="143">
        <v>40453.8</v>
      </c>
      <c r="I55" s="38"/>
    </row>
    <row r="56" spans="1:9" ht="18.75">
      <c r="A56" s="110">
        <v>36920400</v>
      </c>
      <c r="B56" s="77"/>
      <c r="C56" s="77"/>
      <c r="D56" s="110">
        <f aca="true" t="shared" si="1" ref="D56:D73">+G56</f>
        <v>0</v>
      </c>
      <c r="E56" s="142" t="s">
        <v>20</v>
      </c>
      <c r="F56" s="87" t="s">
        <v>42</v>
      </c>
      <c r="G56" s="143">
        <f>Sheet1!M52</f>
        <v>0</v>
      </c>
      <c r="I56" s="38"/>
    </row>
    <row r="57" spans="1:14" ht="18.75">
      <c r="A57" s="110">
        <v>4776000</v>
      </c>
      <c r="B57" s="77"/>
      <c r="C57" s="77"/>
      <c r="D57" s="110">
        <v>804000</v>
      </c>
      <c r="E57" s="142" t="s">
        <v>10</v>
      </c>
      <c r="F57" s="87" t="s">
        <v>74</v>
      </c>
      <c r="G57" s="143">
        <v>804000</v>
      </c>
      <c r="I57" s="38">
        <f>+G57+G55+G54+G53+G52+G51+G50+G49+G48+G47+G46</f>
        <v>14552326.94</v>
      </c>
      <c r="J57" s="38">
        <f>+D57+D56+D55+D54+D53+D52+D51+D50+D49+D48+D47+D46</f>
        <v>23115822.82</v>
      </c>
      <c r="K57" s="38"/>
      <c r="L57" s="38"/>
      <c r="M57" s="38"/>
      <c r="N57" s="38"/>
    </row>
    <row r="58" spans="1:9" ht="18.75">
      <c r="A58" s="110"/>
      <c r="B58" s="77"/>
      <c r="C58" s="77"/>
      <c r="D58" s="110">
        <f t="shared" si="1"/>
        <v>0</v>
      </c>
      <c r="E58" s="142" t="s">
        <v>162</v>
      </c>
      <c r="F58" s="87" t="s">
        <v>163</v>
      </c>
      <c r="G58" s="143">
        <f>Sheet1!M54</f>
        <v>0</v>
      </c>
      <c r="I58" s="38"/>
    </row>
    <row r="59" spans="1:9" ht="18.75">
      <c r="A59" s="77"/>
      <c r="B59" s="77"/>
      <c r="C59" s="77"/>
      <c r="D59" s="110">
        <f t="shared" si="1"/>
        <v>0</v>
      </c>
      <c r="E59" s="142" t="s">
        <v>133</v>
      </c>
      <c r="F59" s="87" t="s">
        <v>201</v>
      </c>
      <c r="G59" s="143">
        <f>Sheet1!M55</f>
        <v>0</v>
      </c>
      <c r="I59" s="38"/>
    </row>
    <row r="60" spans="1:9" ht="18.75">
      <c r="A60" s="77"/>
      <c r="B60" s="77"/>
      <c r="C60" s="77"/>
      <c r="D60" s="110">
        <f>45944+3252420</f>
        <v>3298364</v>
      </c>
      <c r="E60" s="142" t="s">
        <v>126</v>
      </c>
      <c r="F60" s="87" t="s">
        <v>187</v>
      </c>
      <c r="G60" s="143">
        <v>3252420</v>
      </c>
      <c r="I60" s="38"/>
    </row>
    <row r="61" spans="1:9" ht="18.75">
      <c r="A61" s="77"/>
      <c r="B61" s="77"/>
      <c r="C61" s="77"/>
      <c r="D61" s="110">
        <f t="shared" si="1"/>
        <v>0</v>
      </c>
      <c r="E61" s="142" t="s">
        <v>127</v>
      </c>
      <c r="F61" s="85" t="s">
        <v>188</v>
      </c>
      <c r="G61" s="143">
        <f>Sheet1!M53</f>
        <v>0</v>
      </c>
      <c r="I61" s="38"/>
    </row>
    <row r="62" spans="1:9" ht="18.75">
      <c r="A62" s="77"/>
      <c r="B62" s="77"/>
      <c r="C62" s="77"/>
      <c r="D62" s="110">
        <f t="shared" si="1"/>
        <v>0</v>
      </c>
      <c r="E62" s="142" t="s">
        <v>128</v>
      </c>
      <c r="F62" s="85" t="s">
        <v>186</v>
      </c>
      <c r="G62" s="128"/>
      <c r="I62" s="38"/>
    </row>
    <row r="63" spans="1:9" ht="18.75">
      <c r="A63" s="77"/>
      <c r="B63" s="77"/>
      <c r="C63" s="77"/>
      <c r="D63" s="110">
        <f t="shared" si="1"/>
        <v>23600</v>
      </c>
      <c r="E63" s="142" t="s">
        <v>202</v>
      </c>
      <c r="F63" s="85" t="s">
        <v>190</v>
      </c>
      <c r="G63" s="128">
        <v>23600</v>
      </c>
      <c r="I63" s="38"/>
    </row>
    <row r="64" spans="1:7" ht="18.75">
      <c r="A64" s="77"/>
      <c r="B64" s="77"/>
      <c r="C64" s="77"/>
      <c r="D64" s="110">
        <f t="shared" si="1"/>
        <v>0</v>
      </c>
      <c r="E64" s="142" t="s">
        <v>129</v>
      </c>
      <c r="F64" s="85" t="s">
        <v>184</v>
      </c>
      <c r="G64" s="128"/>
    </row>
    <row r="65" spans="1:7" ht="18.75">
      <c r="A65" s="77"/>
      <c r="B65" s="77"/>
      <c r="C65" s="77"/>
      <c r="D65" s="110">
        <f t="shared" si="1"/>
        <v>0</v>
      </c>
      <c r="E65" s="142" t="s">
        <v>130</v>
      </c>
      <c r="F65" s="85" t="s">
        <v>185</v>
      </c>
      <c r="G65" s="128"/>
    </row>
    <row r="66" spans="1:7" ht="18.75">
      <c r="A66" s="77"/>
      <c r="B66" s="77"/>
      <c r="C66" s="77"/>
      <c r="D66" s="110">
        <f t="shared" si="1"/>
        <v>0</v>
      </c>
      <c r="E66" s="142" t="s">
        <v>123</v>
      </c>
      <c r="F66" s="85" t="s">
        <v>203</v>
      </c>
      <c r="G66" s="128"/>
    </row>
    <row r="67" spans="1:7" ht="18.75">
      <c r="A67" s="77"/>
      <c r="B67" s="77"/>
      <c r="C67" s="77"/>
      <c r="D67" s="110">
        <f t="shared" si="1"/>
        <v>0</v>
      </c>
      <c r="E67" s="142" t="s">
        <v>120</v>
      </c>
      <c r="F67" s="85" t="s">
        <v>192</v>
      </c>
      <c r="G67" s="128"/>
    </row>
    <row r="68" spans="1:7" ht="18.75">
      <c r="A68" s="77"/>
      <c r="B68" s="77"/>
      <c r="C68" s="77"/>
      <c r="D68" s="110">
        <v>78200</v>
      </c>
      <c r="E68" s="142" t="s">
        <v>91</v>
      </c>
      <c r="F68" s="87" t="s">
        <v>193</v>
      </c>
      <c r="G68" s="128">
        <v>0</v>
      </c>
    </row>
    <row r="69" spans="1:7" ht="18.75">
      <c r="A69" s="77"/>
      <c r="B69" s="77"/>
      <c r="C69" s="77"/>
      <c r="D69" s="110">
        <f>132800+34000+400786.5</f>
        <v>567586.5</v>
      </c>
      <c r="E69" s="142" t="s">
        <v>294</v>
      </c>
      <c r="F69" s="85" t="s">
        <v>194</v>
      </c>
      <c r="G69" s="128">
        <f>+หมายเหตุ!E37</f>
        <v>132800</v>
      </c>
    </row>
    <row r="70" spans="1:7" ht="18.75">
      <c r="A70" s="77"/>
      <c r="B70" s="77"/>
      <c r="C70" s="77"/>
      <c r="D70" s="110">
        <f t="shared" si="1"/>
        <v>0</v>
      </c>
      <c r="E70" s="142" t="s">
        <v>282</v>
      </c>
      <c r="F70" s="87" t="s">
        <v>196</v>
      </c>
      <c r="G70" s="128"/>
    </row>
    <row r="71" spans="1:7" ht="18.75">
      <c r="A71" s="77"/>
      <c r="B71" s="77"/>
      <c r="C71" s="77"/>
      <c r="D71" s="110">
        <f>715046.52+1028367.48</f>
        <v>1743414</v>
      </c>
      <c r="E71" s="142" t="s">
        <v>11</v>
      </c>
      <c r="F71" s="87" t="s">
        <v>191</v>
      </c>
      <c r="G71" s="128">
        <f>+หมายเหตุ!D31</f>
        <v>1028367.48</v>
      </c>
    </row>
    <row r="72" spans="1:7" ht="18.75">
      <c r="A72" s="77"/>
      <c r="B72" s="77"/>
      <c r="C72" s="77"/>
      <c r="D72" s="110">
        <v>0</v>
      </c>
      <c r="E72" s="142" t="s">
        <v>12</v>
      </c>
      <c r="F72" s="87" t="s">
        <v>104</v>
      </c>
      <c r="G72" s="128">
        <v>0</v>
      </c>
    </row>
    <row r="73" spans="1:7" ht="18.75">
      <c r="A73" s="77"/>
      <c r="B73" s="77"/>
      <c r="C73" s="77"/>
      <c r="D73" s="110">
        <f t="shared" si="1"/>
        <v>237847.96</v>
      </c>
      <c r="E73" s="142" t="s">
        <v>204</v>
      </c>
      <c r="F73" s="87" t="s">
        <v>205</v>
      </c>
      <c r="G73" s="128">
        <v>237847.96</v>
      </c>
    </row>
    <row r="74" spans="1:7" ht="21">
      <c r="A74" s="77"/>
      <c r="B74" s="77"/>
      <c r="C74" s="77"/>
      <c r="D74" s="110"/>
      <c r="E74" s="21"/>
      <c r="F74" s="87"/>
      <c r="G74" s="168"/>
    </row>
    <row r="75" spans="1:7" ht="21">
      <c r="A75" s="77"/>
      <c r="B75" s="77"/>
      <c r="C75" s="77"/>
      <c r="D75" s="110"/>
      <c r="E75" s="21"/>
      <c r="F75" s="87"/>
      <c r="G75" s="168"/>
    </row>
    <row r="76" spans="1:7" ht="21">
      <c r="A76" s="77"/>
      <c r="B76" s="77"/>
      <c r="C76" s="77"/>
      <c r="D76" s="110"/>
      <c r="E76" s="21"/>
      <c r="F76" s="87"/>
      <c r="G76" s="168"/>
    </row>
    <row r="77" spans="1:7" ht="21">
      <c r="A77" s="77"/>
      <c r="B77" s="77"/>
      <c r="C77" s="77"/>
      <c r="D77" s="77"/>
      <c r="E77" s="21"/>
      <c r="F77" s="87"/>
      <c r="G77" s="168"/>
    </row>
    <row r="78" spans="1:7" ht="21.75" thickBot="1">
      <c r="A78" s="77"/>
      <c r="B78" s="77"/>
      <c r="C78" s="77"/>
      <c r="D78" s="77"/>
      <c r="E78" s="21"/>
      <c r="F78" s="87"/>
      <c r="G78" s="169"/>
    </row>
    <row r="79" spans="1:9" ht="19.5" thickBot="1">
      <c r="A79" s="112">
        <f>SUM(A46:A58)</f>
        <v>235000000</v>
      </c>
      <c r="B79" s="84"/>
      <c r="C79" s="84"/>
      <c r="D79" s="124">
        <f>SUM(D46:D77)</f>
        <v>29064835.279999997</v>
      </c>
      <c r="E79" s="144" t="s">
        <v>22</v>
      </c>
      <c r="F79" s="84"/>
      <c r="G79" s="129">
        <f>SUM(G46:G78)</f>
        <v>19227362.380000003</v>
      </c>
      <c r="I79" s="127">
        <f>+D79-กระแสเงินสด!E63</f>
        <v>0</v>
      </c>
    </row>
    <row r="80" spans="1:7" ht="18.75">
      <c r="A80" s="96"/>
      <c r="B80" s="96"/>
      <c r="C80" s="96"/>
      <c r="D80" s="76"/>
      <c r="E80" s="145" t="s">
        <v>23</v>
      </c>
      <c r="F80" s="96"/>
      <c r="G80" s="76"/>
    </row>
    <row r="81" spans="1:7" ht="18.75">
      <c r="A81" s="96"/>
      <c r="B81" s="96"/>
      <c r="C81" s="96"/>
      <c r="D81" s="77"/>
      <c r="E81" s="145" t="s">
        <v>26</v>
      </c>
      <c r="F81" s="96"/>
      <c r="G81" s="77"/>
    </row>
    <row r="82" spans="1:7" ht="19.5" thickBot="1">
      <c r="A82" s="96"/>
      <c r="B82" s="96"/>
      <c r="C82" s="96"/>
      <c r="D82" s="146">
        <f>+กระแสเงินสด!E64</f>
        <v>24325876.430000007</v>
      </c>
      <c r="E82" s="145" t="s">
        <v>27</v>
      </c>
      <c r="F82" s="96"/>
      <c r="G82" s="125">
        <f>+G39-G79</f>
        <v>-2832560.3000000026</v>
      </c>
    </row>
    <row r="83" spans="1:10" ht="19.5" thickBot="1">
      <c r="A83" s="96"/>
      <c r="B83" s="96"/>
      <c r="C83" s="96"/>
      <c r="D83" s="126">
        <f>+G83</f>
        <v>64060081.85999999</v>
      </c>
      <c r="E83" s="145" t="s">
        <v>24</v>
      </c>
      <c r="F83" s="96"/>
      <c r="G83" s="111">
        <f>+G8+G39-G79</f>
        <v>64060081.85999999</v>
      </c>
      <c r="I83" s="38">
        <v>64060081.86</v>
      </c>
      <c r="J83" s="127">
        <f>+I83-G83</f>
        <v>0</v>
      </c>
    </row>
    <row r="84" spans="6:7" ht="19.5" thickTop="1">
      <c r="F84" s="96"/>
      <c r="G84" s="96"/>
    </row>
    <row r="85" spans="1:4" ht="18.75">
      <c r="A85" s="96"/>
      <c r="B85" s="96"/>
      <c r="C85" s="96"/>
      <c r="D85" s="96"/>
    </row>
    <row r="86" ht="18.75">
      <c r="I86" s="19" t="s">
        <v>236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orientation="portrait" paperSize="9" scale="90" r:id="rId2"/>
  <rowBreaks count="1" manualBreakCount="1">
    <brk id="39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78" t="s">
        <v>29</v>
      </c>
      <c r="B1" s="178"/>
      <c r="C1" s="178"/>
    </row>
    <row r="2" spans="1:3" ht="21">
      <c r="A2" s="178" t="s">
        <v>283</v>
      </c>
      <c r="B2" s="178"/>
      <c r="C2" s="178"/>
    </row>
    <row r="3" spans="1:3" ht="21">
      <c r="A3" s="178" t="s">
        <v>287</v>
      </c>
      <c r="B3" s="178"/>
      <c r="C3" s="178"/>
    </row>
    <row r="4" spans="1:3" ht="21">
      <c r="A4" s="10" t="s">
        <v>284</v>
      </c>
      <c r="B4" s="10"/>
      <c r="C4" s="10"/>
    </row>
    <row r="5" spans="1:3" ht="21">
      <c r="A5" s="107" t="s">
        <v>94</v>
      </c>
      <c r="B5" s="9"/>
      <c r="C5" s="9" t="s">
        <v>66</v>
      </c>
    </row>
    <row r="6" ht="21">
      <c r="B6" s="12" t="s">
        <v>236</v>
      </c>
    </row>
    <row r="10" ht="21">
      <c r="B10" s="13"/>
    </row>
    <row r="11" ht="21">
      <c r="B11" s="13"/>
    </row>
    <row r="12" spans="2:3" ht="21.75" thickBot="1">
      <c r="B12" s="108" t="s">
        <v>31</v>
      </c>
      <c r="C12" s="109">
        <f>SUM(C6:C11)</f>
        <v>0</v>
      </c>
    </row>
    <row r="13" spans="1:2" ht="21.75" thickTop="1">
      <c r="A13" s="10" t="s">
        <v>285</v>
      </c>
      <c r="B13" s="10"/>
    </row>
    <row r="14" spans="1:2" ht="21">
      <c r="A14" s="107" t="s">
        <v>94</v>
      </c>
      <c r="B14" s="9"/>
    </row>
    <row r="19" spans="2:3" ht="21.75" thickBot="1">
      <c r="B19" s="108" t="s">
        <v>31</v>
      </c>
      <c r="C19" s="109">
        <f>SUM(C8:C18)</f>
        <v>0</v>
      </c>
    </row>
    <row r="20" ht="21.75" thickTop="1"/>
    <row r="21" spans="1:2" ht="21">
      <c r="A21" s="10" t="s">
        <v>286</v>
      </c>
      <c r="B21" s="10"/>
    </row>
    <row r="22" ht="21">
      <c r="B22" s="12" t="s">
        <v>61</v>
      </c>
    </row>
    <row r="23" ht="21">
      <c r="B23" s="12" t="s">
        <v>92</v>
      </c>
    </row>
    <row r="24" ht="21">
      <c r="B24" s="12" t="s">
        <v>62</v>
      </c>
    </row>
    <row r="25" ht="21">
      <c r="B25" s="12" t="s">
        <v>93</v>
      </c>
    </row>
    <row r="26" ht="21">
      <c r="B26" s="12" t="s">
        <v>177</v>
      </c>
    </row>
    <row r="27" ht="21">
      <c r="B27" s="12" t="s">
        <v>9</v>
      </c>
    </row>
    <row r="28" ht="21">
      <c r="B28" s="12" t="s">
        <v>64</v>
      </c>
    </row>
    <row r="29" spans="2:7" ht="21">
      <c r="B29" s="12" t="s">
        <v>114</v>
      </c>
      <c r="G29" s="12" t="s">
        <v>236</v>
      </c>
    </row>
    <row r="30" ht="21">
      <c r="B30" s="12" t="s">
        <v>144</v>
      </c>
    </row>
    <row r="31" ht="21">
      <c r="B31" s="12" t="s">
        <v>137</v>
      </c>
    </row>
    <row r="32" ht="21">
      <c r="B32" s="12" t="s">
        <v>157</v>
      </c>
    </row>
    <row r="33" ht="21">
      <c r="B33" s="12" t="s">
        <v>230</v>
      </c>
    </row>
    <row r="34" ht="21">
      <c r="B34" s="19" t="s">
        <v>244</v>
      </c>
    </row>
    <row r="35" ht="21">
      <c r="B35" s="19" t="s">
        <v>259</v>
      </c>
    </row>
    <row r="36" ht="21">
      <c r="B36" s="19" t="s">
        <v>260</v>
      </c>
    </row>
    <row r="37" ht="21">
      <c r="B37" s="12" t="s">
        <v>138</v>
      </c>
    </row>
    <row r="38" ht="21">
      <c r="B38" s="12" t="s">
        <v>70</v>
      </c>
    </row>
    <row r="39" ht="21">
      <c r="B39" s="13" t="s">
        <v>68</v>
      </c>
    </row>
    <row r="40" ht="21">
      <c r="B40" s="13" t="s">
        <v>69</v>
      </c>
    </row>
    <row r="41" spans="2:3" ht="21.75" thickBot="1">
      <c r="B41" s="108" t="s">
        <v>31</v>
      </c>
      <c r="C41" s="109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66"/>
      <c r="N24" s="66"/>
    </row>
    <row r="25" spans="1:12" ht="21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21.75">
      <c r="A26" s="1"/>
      <c r="D26" s="66"/>
      <c r="F26" s="66"/>
      <c r="J26" s="66"/>
      <c r="L26" s="66"/>
    </row>
    <row r="27" spans="6:10" ht="21.75">
      <c r="F27" s="1"/>
      <c r="J27" s="1"/>
    </row>
    <row r="28" spans="6:10" ht="21.75">
      <c r="F28" s="66">
        <f>+F27-F26</f>
        <v>0</v>
      </c>
      <c r="J28" s="115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2016-12-08T07:47:33Z</cp:lastPrinted>
  <dcterms:created xsi:type="dcterms:W3CDTF">2004-10-29T06:51:22Z</dcterms:created>
  <dcterms:modified xsi:type="dcterms:W3CDTF">2016-12-08T07:47:51Z</dcterms:modified>
  <cp:category/>
  <cp:version/>
  <cp:contentType/>
  <cp:contentStatus/>
</cp:coreProperties>
</file>